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GE\dpe\DOC_DIFUSION\ESTADISTICA MENSUAL\DOCUMENTOS 2020\02 Febrero\Avance de Indicadores Nacionales\"/>
    </mc:Choice>
  </mc:AlternateContent>
  <bookViews>
    <workbookView xWindow="0" yWindow="0" windowWidth="20490" windowHeight="7455" activeTab="5"/>
  </bookViews>
  <sheets>
    <sheet name="Resumenn(G)" sheetId="1" r:id="rId1"/>
    <sheet name="TipoRecurso (G)" sheetId="2" r:id="rId2"/>
    <sheet name="PorZona (G)" sheetId="6" r:id="rId3"/>
    <sheet name="Por Región (G)" sheetId="10" r:id="rId4"/>
    <sheet name="Resumen VENTAS (D)" sheetId="11" r:id="rId5"/>
    <sheet name="Resumen CLIENTES (D)" sheetId="13" r:id="rId6"/>
    <sheet name="Resumen FACTURACIÓN" sheetId="14" r:id="rId7"/>
  </sheets>
  <externalReferences>
    <externalReference r:id="rId8"/>
  </externalReferences>
  <definedNames>
    <definedName name="_xlnm._FilterDatabase" localSheetId="3" hidden="1">'Por Región (G)'!$N$43:$O$67</definedName>
    <definedName name="AMAZONAS" localSheetId="3">#REF!</definedName>
    <definedName name="AMAZONAS" localSheetId="2">#REF!</definedName>
    <definedName name="AMAZONAS" localSheetId="5">#REF!</definedName>
    <definedName name="AMAZONAS" localSheetId="4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5">#REF!</definedName>
    <definedName name="ANCASH" localSheetId="4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5">#REF!</definedName>
    <definedName name="APURIMAC" localSheetId="4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5">'Resumen CLIENTES (D)'!$B$1:$O$86</definedName>
    <definedName name="_xlnm.Print_Area" localSheetId="6">'Resumen FACTURACIÓN'!$B$1:$J$40</definedName>
    <definedName name="_xlnm.Print_Area" localSheetId="4">'Resumen VENTAS (D)'!$B$1:$O$87</definedName>
    <definedName name="_xlnm.Print_Area" localSheetId="0">'Resumenn(G)'!$B$1:$O$86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5">#REF!</definedName>
    <definedName name="AREQUIPA" localSheetId="4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5">[1]X_DEPA!#REF!</definedName>
    <definedName name="AYACUCHO" localSheetId="4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5">#REF!</definedName>
    <definedName name="CAJAMARCA" localSheetId="4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5">#REF!</definedName>
    <definedName name="CUSCO" localSheetId="4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5">#REF!</definedName>
    <definedName name="HUANCAVELICA" localSheetId="4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5">#REF!</definedName>
    <definedName name="HUANUCO" localSheetId="4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5">#REF!</definedName>
    <definedName name="ICA" localSheetId="4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5">#REF!</definedName>
    <definedName name="JUNIN" localSheetId="4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5">#REF!</definedName>
    <definedName name="LA_LIBERTAD" localSheetId="4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5">#REF!</definedName>
    <definedName name="LAMBAYEQUE" localSheetId="4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5">#REF!</definedName>
    <definedName name="LIMA" localSheetId="4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5">[1]X_DEPA!#REF!</definedName>
    <definedName name="LIMA_I" localSheetId="4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5">[1]X_DEPA!#REF!</definedName>
    <definedName name="LIMA_II" localSheetId="4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5">#REF!</definedName>
    <definedName name="LORETO" localSheetId="4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5">#REF!</definedName>
    <definedName name="MADRE_DIOS" localSheetId="4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5">#REF!</definedName>
    <definedName name="MOQUEGUA" localSheetId="4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5">#REF!</definedName>
    <definedName name="PASCO" localSheetId="4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5">#REF!</definedName>
    <definedName name="PIURA" localSheetId="4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5">[1]X_DEPA!#REF!</definedName>
    <definedName name="PIURA_I" localSheetId="4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5">#REF!</definedName>
    <definedName name="prod_hidro" localSheetId="4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5">#REF!</definedName>
    <definedName name="prod_ter" localSheetId="4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5">#REF!</definedName>
    <definedName name="prod_total" localSheetId="4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5">#REF!</definedName>
    <definedName name="PUNO" localSheetId="4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5">#REF!</definedName>
    <definedName name="RAZON" localSheetId="4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5">#REF!</definedName>
    <definedName name="SAN_MARTIN" localSheetId="4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5">#REF!</definedName>
    <definedName name="TACNA" localSheetId="4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5">#REF!</definedName>
    <definedName name="TOTAL" localSheetId="4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5">#REF!</definedName>
    <definedName name="TUMBES" localSheetId="4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5">#REF!</definedName>
    <definedName name="UCAYALI" localSheetId="4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Y85" i="13" l="1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E57" i="1" l="1"/>
  <c r="E17" i="14" l="1"/>
  <c r="D17" i="14"/>
  <c r="I15" i="14"/>
  <c r="F15" i="14"/>
  <c r="I11" i="14"/>
  <c r="F11" i="14"/>
  <c r="I13" i="14" l="1"/>
  <c r="G17" i="14"/>
  <c r="F13" i="14"/>
  <c r="H17" i="14"/>
  <c r="F17" i="14" l="1"/>
  <c r="I17" i="14"/>
  <c r="S39" i="13" l="1"/>
  <c r="S40" i="13"/>
  <c r="R40" i="13"/>
  <c r="R39" i="13"/>
  <c r="S38" i="13"/>
  <c r="R38" i="13"/>
  <c r="E44" i="13"/>
  <c r="S13" i="13" l="1"/>
  <c r="S11" i="13"/>
  <c r="F81" i="13" l="1"/>
  <c r="E81" i="13"/>
  <c r="G80" i="13"/>
  <c r="G79" i="13"/>
  <c r="G78" i="13"/>
  <c r="G77" i="13"/>
  <c r="G76" i="13"/>
  <c r="G75" i="13"/>
  <c r="G74" i="13"/>
  <c r="T73" i="13"/>
  <c r="S73" i="13"/>
  <c r="G73" i="13"/>
  <c r="T72" i="13"/>
  <c r="S72" i="13"/>
  <c r="G72" i="13"/>
  <c r="T71" i="13"/>
  <c r="S71" i="13"/>
  <c r="G71" i="13"/>
  <c r="T70" i="13"/>
  <c r="S70" i="13"/>
  <c r="G70" i="13"/>
  <c r="G69" i="13"/>
  <c r="G68" i="13"/>
  <c r="G67" i="13"/>
  <c r="G66" i="13"/>
  <c r="G65" i="13"/>
  <c r="G64" i="13"/>
  <c r="G63" i="13"/>
  <c r="G62" i="13"/>
  <c r="G61" i="13"/>
  <c r="G60" i="13"/>
  <c r="T59" i="13"/>
  <c r="S59" i="13"/>
  <c r="G59" i="13"/>
  <c r="G58" i="13"/>
  <c r="G57" i="13"/>
  <c r="G56" i="13"/>
  <c r="G48" i="13"/>
  <c r="G47" i="13"/>
  <c r="G46" i="13"/>
  <c r="G45" i="13"/>
  <c r="F44" i="13"/>
  <c r="G44" i="13" s="1"/>
  <c r="G43" i="13"/>
  <c r="G42" i="13"/>
  <c r="G41" i="13"/>
  <c r="G40" i="13"/>
  <c r="F39" i="13"/>
  <c r="E39" i="13"/>
  <c r="E28" i="13"/>
  <c r="G27" i="13"/>
  <c r="G26" i="13"/>
  <c r="R25" i="13"/>
  <c r="F25" i="13"/>
  <c r="E25" i="13"/>
  <c r="S24" i="13"/>
  <c r="R24" i="13"/>
  <c r="E16" i="13"/>
  <c r="F29" i="13" s="1"/>
  <c r="S25" i="13" s="1"/>
  <c r="D16" i="13"/>
  <c r="S14" i="13"/>
  <c r="F14" i="13"/>
  <c r="F12" i="13"/>
  <c r="T71" i="11"/>
  <c r="T72" i="11"/>
  <c r="T73" i="11"/>
  <c r="T74" i="11"/>
  <c r="S74" i="11"/>
  <c r="S73" i="11"/>
  <c r="S72" i="11"/>
  <c r="S71" i="11"/>
  <c r="T60" i="11"/>
  <c r="S60" i="11"/>
  <c r="F28" i="13" l="1"/>
  <c r="G28" i="13" s="1"/>
  <c r="S75" i="11"/>
  <c r="U71" i="11" s="1"/>
  <c r="T75" i="11"/>
  <c r="V73" i="11" s="1"/>
  <c r="G29" i="13"/>
  <c r="T60" i="13"/>
  <c r="T61" i="13" s="1"/>
  <c r="S60" i="13"/>
  <c r="S61" i="13" s="1"/>
  <c r="U59" i="13" s="1"/>
  <c r="G39" i="13"/>
  <c r="G25" i="13"/>
  <c r="F49" i="13"/>
  <c r="E49" i="13"/>
  <c r="S74" i="13"/>
  <c r="U70" i="13" s="1"/>
  <c r="E31" i="13"/>
  <c r="T74" i="13"/>
  <c r="V73" i="13" s="1"/>
  <c r="F16" i="13"/>
  <c r="G14" i="13" s="1"/>
  <c r="G81" i="13"/>
  <c r="S15" i="13"/>
  <c r="U72" i="11" l="1"/>
  <c r="F31" i="13"/>
  <c r="G31" i="13" s="1"/>
  <c r="U73" i="11"/>
  <c r="U74" i="11"/>
  <c r="V74" i="11"/>
  <c r="V71" i="11"/>
  <c r="V72" i="11"/>
  <c r="U72" i="13"/>
  <c r="V60" i="13"/>
  <c r="V59" i="13"/>
  <c r="V72" i="13"/>
  <c r="V71" i="13"/>
  <c r="U71" i="13"/>
  <c r="U73" i="13"/>
  <c r="G49" i="13"/>
  <c r="V70" i="13"/>
  <c r="G12" i="13"/>
  <c r="E17" i="13"/>
  <c r="D17" i="13"/>
  <c r="U60" i="13"/>
  <c r="H82" i="11" l="1"/>
  <c r="F82" i="11"/>
  <c r="T61" i="11" s="1"/>
  <c r="E82" i="11"/>
  <c r="S61" i="11" s="1"/>
  <c r="J81" i="11"/>
  <c r="G81" i="11"/>
  <c r="J80" i="11"/>
  <c r="G80" i="11"/>
  <c r="J79" i="11"/>
  <c r="G79" i="11"/>
  <c r="J78" i="11"/>
  <c r="G78" i="11"/>
  <c r="J77" i="11"/>
  <c r="G77" i="11"/>
  <c r="J76" i="11"/>
  <c r="G76" i="11"/>
  <c r="J75" i="11"/>
  <c r="G75" i="11"/>
  <c r="J74" i="11"/>
  <c r="G74" i="11"/>
  <c r="J73" i="11"/>
  <c r="G73" i="11"/>
  <c r="J72" i="11"/>
  <c r="G72" i="11"/>
  <c r="J71" i="11"/>
  <c r="G71" i="11"/>
  <c r="J70" i="11"/>
  <c r="G70" i="11"/>
  <c r="J69" i="11"/>
  <c r="G69" i="11"/>
  <c r="J68" i="11"/>
  <c r="G68" i="11"/>
  <c r="J67" i="11"/>
  <c r="G67" i="11"/>
  <c r="J66" i="11"/>
  <c r="G66" i="11"/>
  <c r="J65" i="11"/>
  <c r="G65" i="11"/>
  <c r="J64" i="11"/>
  <c r="G64" i="11"/>
  <c r="J63" i="11"/>
  <c r="G63" i="11"/>
  <c r="J62" i="11"/>
  <c r="G62" i="11"/>
  <c r="J61" i="11"/>
  <c r="G61" i="11"/>
  <c r="J60" i="11"/>
  <c r="G60" i="11"/>
  <c r="J59" i="11"/>
  <c r="G59" i="11"/>
  <c r="J58" i="11"/>
  <c r="G58" i="11"/>
  <c r="J57" i="11"/>
  <c r="G57" i="11"/>
  <c r="S62" i="11" l="1"/>
  <c r="U60" i="11" s="1"/>
  <c r="T62" i="11"/>
  <c r="V60" i="11" s="1"/>
  <c r="G82" i="11"/>
  <c r="J82" i="11"/>
  <c r="S40" i="11"/>
  <c r="S41" i="11"/>
  <c r="S42" i="11"/>
  <c r="J47" i="11"/>
  <c r="J48" i="11"/>
  <c r="G47" i="11"/>
  <c r="G48" i="11"/>
  <c r="V61" i="11" l="1"/>
  <c r="U61" i="11"/>
  <c r="R42" i="11"/>
  <c r="T42" i="11" s="1"/>
  <c r="R41" i="11"/>
  <c r="T41" i="11" s="1"/>
  <c r="R40" i="11"/>
  <c r="T40" i="11" s="1"/>
  <c r="I25" i="11" l="1"/>
  <c r="H25" i="11"/>
  <c r="S14" i="11"/>
  <c r="S13" i="11"/>
  <c r="S11" i="11"/>
  <c r="S25" i="11"/>
  <c r="R25" i="11"/>
  <c r="S24" i="11"/>
  <c r="R24" i="11"/>
  <c r="G28" i="11"/>
  <c r="F25" i="11"/>
  <c r="E25" i="11"/>
  <c r="G27" i="11"/>
  <c r="J28" i="11"/>
  <c r="V25" i="11" l="1"/>
  <c r="V24" i="11" s="1"/>
  <c r="S15" i="11"/>
  <c r="J49" i="11" l="1"/>
  <c r="J46" i="11"/>
  <c r="I45" i="11"/>
  <c r="H45" i="11"/>
  <c r="E45" i="11"/>
  <c r="J44" i="11"/>
  <c r="J43" i="11"/>
  <c r="G43" i="11"/>
  <c r="J42" i="11"/>
  <c r="J41" i="11"/>
  <c r="G41" i="11"/>
  <c r="I40" i="11"/>
  <c r="H40" i="11"/>
  <c r="E40" i="11"/>
  <c r="R39" i="11"/>
  <c r="J30" i="11"/>
  <c r="G30" i="11"/>
  <c r="I29" i="11"/>
  <c r="H29" i="11"/>
  <c r="H32" i="11" s="1"/>
  <c r="F29" i="11"/>
  <c r="E29" i="11"/>
  <c r="J27" i="11"/>
  <c r="E16" i="11"/>
  <c r="F14" i="11"/>
  <c r="F12" i="11"/>
  <c r="E50" i="11" l="1"/>
  <c r="I50" i="11"/>
  <c r="H50" i="11"/>
  <c r="J29" i="11"/>
  <c r="F45" i="11"/>
  <c r="G45" i="11" s="1"/>
  <c r="G44" i="11"/>
  <c r="J45" i="11"/>
  <c r="F32" i="11"/>
  <c r="G49" i="11"/>
  <c r="J40" i="11"/>
  <c r="S39" i="11"/>
  <c r="T39" i="11" s="1"/>
  <c r="I32" i="11"/>
  <c r="J32" i="11" s="1"/>
  <c r="G42" i="11"/>
  <c r="F40" i="11"/>
  <c r="E32" i="11"/>
  <c r="G25" i="11"/>
  <c r="G46" i="11"/>
  <c r="G29" i="11"/>
  <c r="D16" i="11"/>
  <c r="J50" i="11" l="1"/>
  <c r="J25" i="11"/>
  <c r="G32" i="11"/>
  <c r="G40" i="11"/>
  <c r="F50" i="11"/>
  <c r="F16" i="11"/>
  <c r="D17" i="11" s="1"/>
  <c r="I57" i="1"/>
  <c r="G50" i="11" l="1"/>
  <c r="G14" i="11"/>
  <c r="E17" i="11"/>
  <c r="G12" i="11"/>
  <c r="H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/>
  <c r="G28" i="2"/>
  <c r="D28" i="2" l="1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57" i="1" s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G80" i="2" l="1"/>
  <c r="I32" i="1"/>
  <c r="H30" i="2" s="1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M14" i="6" l="1"/>
  <c r="N10" i="6" s="1"/>
  <c r="N11" i="6"/>
  <c r="N12" i="6"/>
  <c r="N13" i="6"/>
  <c r="F33" i="10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D17" i="1" s="1"/>
  <c r="G25" i="1"/>
  <c r="G29" i="1"/>
  <c r="F32" i="1"/>
  <c r="E30" i="2" s="1"/>
  <c r="G13" i="1" l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G1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<sst xmlns="http://schemas.openxmlformats.org/spreadsheetml/2006/main" count="603" uniqueCount="175">
  <si>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</si>
  <si>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</si>
  <si>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</si>
  <si>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</si>
  <si>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</si>
  <si>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</si>
  <si>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</si>
  <si>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</si>
  <si>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</si>
  <si>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</si>
  <si>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</si>
  <si>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</si>
  <si>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</si>
  <si>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</si>
  <si>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</si>
  <si>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</si>
  <si>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</si>
  <si>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</si>
  <si>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</si>
  <si>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</si>
  <si>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</si>
  <si>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</si>
  <si>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</si>
  <si>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</si>
  <si>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</si>
  <si>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</si>
  <si>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</si>
  <si>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</si>
  <si>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</si>
  <si>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</si>
  <si>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</si>
  <si>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</si>
  <si>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</si>
  <si>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</si>
  <si>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</si>
  <si>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</si>
  <si>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</si>
  <si>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</si>
  <si>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</si>
  <si>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</si>
  <si>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</si>
  <si>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</si>
  <si>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</si>
  <si>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</si>
  <si>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</si>
  <si>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</si>
  <si>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</si>
  <si>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</si>
  <si>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</si>
  <si>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</si>
  <si>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</si>
  <si>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</si>
  <si>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</si>
  <si>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</si>
  <si>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</si>
  <si>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</si>
  <si>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</si>
  <si>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</si>
  <si>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</si>
  <si>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</si>
  <si>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</si>
  <si>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</si>
  <si>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</si>
  <si>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</si>
  <si>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</si>
  <si>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</si>
  <si>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</si>
  <si>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</si>
  <si>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</si>
  <si>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</si>
  <si>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</si>
  <si>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</si>
  <si>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</si>
  <si>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</si>
  <si>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</si>
  <si>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</si>
  <si>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</si>
  <si>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</si>
  <si>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</si>
  <si>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</si>
  <si>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</si>
  <si>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</si>
  <si>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</si>
  <si>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</si>
  <si>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</si>
  <si>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</si>
  <si>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</si>
  <si>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</si>
  <si>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</si>
  <si>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</si>
  <si>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</si>
  <si>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</si>
  <si>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</si>
  <si>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</si>
  <si>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</si>
  <si>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</si>
  <si>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</si>
  <si>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</si>
  <si>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</si>
  <si>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</si>
  <si>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</si>
  <si>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</si>
  <si>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</si>
  <si>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</si>
  <si>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</si>
  <si>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-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</si>
  <si>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</si>
  <si>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</si>
  <si>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</si>
  <si>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</si>
  <si>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</si>
  <si>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</si>
  <si>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</si>
  <si>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</si>
  <si>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Cuadro N° 4 : Producción de energía eléctrica nacional según destino y recurso 2019 vs 2018</t>
  </si>
  <si>
    <t>Biomasa</t>
  </si>
  <si>
    <t>2.3 Producción de energía eléctrica (GWh) en las Centrales de Reserva Fría en el Mercado Eléctrico</t>
  </si>
  <si>
    <t>ACUMULADO</t>
  </si>
  <si>
    <t>Diciembre</t>
  </si>
  <si>
    <t>Acumulado Enero a Diciembre</t>
  </si>
  <si>
    <t>Cuadro N° 11: Venta de energía eléctrica nacional según Tipo de Empresa y Mercado</t>
  </si>
  <si>
    <t>Regulado</t>
  </si>
  <si>
    <t>Libre</t>
  </si>
  <si>
    <t>Empresa</t>
  </si>
  <si>
    <t>Mcdo Libre</t>
  </si>
  <si>
    <t>Mcdo Regulado</t>
  </si>
  <si>
    <t>Generador al</t>
  </si>
  <si>
    <t>Distribuidor al</t>
  </si>
  <si>
    <t>BT</t>
  </si>
  <si>
    <t>MT</t>
  </si>
  <si>
    <t>AT</t>
  </si>
  <si>
    <t>MAT</t>
  </si>
  <si>
    <t>Mercado Regulado</t>
  </si>
  <si>
    <t>Generadora</t>
  </si>
  <si>
    <t>Distribuidora</t>
  </si>
  <si>
    <t>Mercado
Regulado</t>
  </si>
  <si>
    <t>Mercado
Libre</t>
  </si>
  <si>
    <t>Mercado Libre</t>
  </si>
  <si>
    <t>Cuadro N° 14 : Venta de energía eléctrica nacional por Región</t>
  </si>
  <si>
    <t>Lima</t>
  </si>
  <si>
    <t>Otros</t>
  </si>
  <si>
    <t>Otras Regiones</t>
  </si>
  <si>
    <t>HUÁNUCO</t>
  </si>
  <si>
    <t>JUNÍN</t>
  </si>
  <si>
    <t>6.1 Facturación de energía eléctrica nacional 2019 (mio US$)</t>
  </si>
  <si>
    <t>Tipo de Empresa</t>
  </si>
  <si>
    <t>Transmisora</t>
  </si>
  <si>
    <t>6. FACTURACIÓN EN LAS EMPRESAS DEL SECTOR ELÉCTRICO</t>
  </si>
  <si>
    <t>(*) : Información obtenida a partir de la declaración de Aportes al MINEM.</t>
  </si>
  <si>
    <t>4.1 Venta de energía eléctrica (GWh)</t>
  </si>
  <si>
    <t>Cuadro N° 15: Número de Clientes según Tipo de Empresa y Mercado</t>
  </si>
  <si>
    <t>Cuadro N° 16 : Número de Clientes según Mercado e Interconexión</t>
  </si>
  <si>
    <t>Cuadro N° 17 : Número de Clientes según Nivel de Tensión</t>
  </si>
  <si>
    <t>Cuadro N° 18 : Número de Clientes por Región</t>
  </si>
  <si>
    <t>Cuadro N° 19: Facturación* Total al mes de diciembre 2019</t>
  </si>
  <si>
    <t>1. RESUMEN NACIONAL AL MES DE ENERO 2020</t>
  </si>
  <si>
    <t>Cuadro N° 2 : Producción de energía eléctrica nacional según sistema y mercado 2020 vs 2019</t>
  </si>
  <si>
    <t>Enero</t>
  </si>
  <si>
    <t>Total Anual</t>
  </si>
  <si>
    <t>Cuadro N° 3 : Producción de energía eléctrica nacional según  mercado 2020 vs 2019</t>
  </si>
  <si>
    <t>Cuadro N° 5: Producción de energía eléctrica nacional por tipo de recurso energético 2020 vs 2019</t>
  </si>
  <si>
    <t>Cuadro N° 6: Producción de energía eléctrica con Recurso Convencional y No Convencional 2020 vs 2019</t>
  </si>
  <si>
    <t>Cuadro N° 7: Producción de energía eléctrica según tipo de participación en el Mercado Eléctrico 2020 vs 2019</t>
  </si>
  <si>
    <t>3.1 Producción de energía eléctrica (GWh) nacional según zona 2020 vs 2019</t>
  </si>
  <si>
    <t>Enero 2020</t>
  </si>
  <si>
    <t>Grafico N° 11: Generación de energía eléctrica por Región, al mes de enero 2020</t>
  </si>
  <si>
    <t>Cuadro N° 8: Producción de energía eléctrica nacional por zona del país, al mes de enero</t>
  </si>
  <si>
    <t>3.2 Producción de energía eléctrica (GWh) por origen y zona al mes de enero 2020</t>
  </si>
  <si>
    <t>4. DISTRIBUCIÓN DE ENERGÍA ELÉCTRICA A NIVEL NACIONAL AL MES DE ENERO 2020</t>
  </si>
  <si>
    <t>Cuadro N° 13 : Venta de energía eléctrica nacional según nivel de tensión 2020 vs 2019</t>
  </si>
  <si>
    <t>Cuadro N° 12 : Venta de energía eléctrica nacional según Mercado e Interconexión 2020 vs 2019</t>
  </si>
  <si>
    <t>5. NÚMERO DE CLIENTES A NIVEL NACIONAL AL MES DE ENERO 2020</t>
  </si>
  <si>
    <t>5.1 Número de Clientes Finales a enero (miles)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</si>
  <si>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 </t>
    </r>
    <r>
      <rPr>
        <vertAlign val="superscript"/>
        <sz val="10"/>
        <rFont val="Arial"/>
        <family val="2"/>
      </rPr>
      <t>(1)</t>
    </r>
  </si>
  <si>
    <t>1\ : Incluye información de Recursos Renovables No Convencionales de Aislados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</si>
</sst>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  <numFmt numFmtId="183" formatCode="#,##0.000000"/>
  </numFmts>
  <fonts count="1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  <font>
      <sz val="10"/>
      <color theme="0" tint="-0.14999847407452621"/>
      <name val="Arial"/>
      <family val="2"/>
    </font>
    <font>
      <sz val="8"/>
      <color theme="0" tint="-0.249977111117893"/>
      <name val="Arial"/>
      <family val="2"/>
    </font>
    <font>
      <vertAlign val="superscript"/>
      <sz val="1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4" tint="0.79998168889431442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28" xfId="0" applyNumberFormat="1" applyFont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4" fontId="0" fillId="68" borderId="84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0" fontId="92" fillId="69" borderId="100" xfId="0" applyFont="1" applyFill="1" applyBorder="1" applyAlignment="1">
      <alignment horizont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60" xfId="0" applyNumberFormat="1" applyFont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182" fontId="0" fillId="68" borderId="30" xfId="0" applyNumberFormat="1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178" fontId="76" fillId="68" borderId="32" xfId="33743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0" fontId="100" fillId="0" borderId="0" xfId="0" applyFont="1" applyAlignment="1">
      <alignment vertical="center"/>
    </xf>
    <xf numFmtId="0" fontId="0" fillId="68" borderId="0" xfId="0" applyFont="1" applyFill="1" applyBorder="1" applyAlignment="1">
      <alignment horizontal="left"/>
    </xf>
    <xf numFmtId="0" fontId="0" fillId="68" borderId="40" xfId="0" applyFill="1" applyBorder="1" applyAlignment="1">
      <alignment horizontal="center"/>
    </xf>
    <xf numFmtId="0" fontId="0" fillId="68" borderId="42" xfId="0" applyFill="1" applyBorder="1" applyAlignment="1">
      <alignment horizontal="center"/>
    </xf>
    <xf numFmtId="3" fontId="108" fillId="0" borderId="0" xfId="0" applyNumberFormat="1" applyFont="1"/>
    <xf numFmtId="0" fontId="108" fillId="0" borderId="0" xfId="0" applyFont="1"/>
    <xf numFmtId="0" fontId="3" fillId="73" borderId="16" xfId="0" applyFont="1" applyFill="1" applyBorder="1" applyAlignment="1">
      <alignment horizontal="right" vertical="center"/>
    </xf>
    <xf numFmtId="0" fontId="3" fillId="73" borderId="25" xfId="0" applyFont="1" applyFill="1" applyBorder="1" applyAlignment="1">
      <alignment horizontal="center" wrapText="1"/>
    </xf>
    <xf numFmtId="0" fontId="3" fillId="73" borderId="40" xfId="0" applyFont="1" applyFill="1" applyBorder="1" applyAlignment="1">
      <alignment horizontal="center" wrapText="1"/>
    </xf>
    <xf numFmtId="0" fontId="3" fillId="73" borderId="28" xfId="0" applyFont="1" applyFill="1" applyBorder="1" applyAlignment="1">
      <alignment horizontal="center" vertical="center"/>
    </xf>
    <xf numFmtId="9" fontId="96" fillId="73" borderId="43" xfId="33743" applyFont="1" applyFill="1" applyBorder="1" applyAlignment="1">
      <alignment horizontal="center" vertical="center"/>
    </xf>
    <xf numFmtId="0" fontId="3" fillId="73" borderId="27" xfId="0" applyFont="1" applyFill="1" applyBorder="1" applyAlignment="1">
      <alignment horizontal="left"/>
    </xf>
    <xf numFmtId="0" fontId="0" fillId="73" borderId="34" xfId="0" applyFont="1" applyFill="1" applyBorder="1"/>
    <xf numFmtId="0" fontId="0" fillId="73" borderId="41" xfId="0" applyFont="1" applyFill="1" applyBorder="1"/>
    <xf numFmtId="0" fontId="0" fillId="73" borderId="29" xfId="0" applyFont="1" applyFill="1" applyBorder="1"/>
    <xf numFmtId="0" fontId="0" fillId="73" borderId="44" xfId="0" applyFont="1" applyFill="1" applyBorder="1"/>
    <xf numFmtId="0" fontId="0" fillId="73" borderId="90" xfId="0" applyFont="1" applyFill="1" applyBorder="1" applyAlignment="1">
      <alignment horizontal="center"/>
    </xf>
    <xf numFmtId="3" fontId="0" fillId="73" borderId="91" xfId="0" applyNumberFormat="1" applyFont="1" applyFill="1" applyBorder="1"/>
    <xf numFmtId="3" fontId="0" fillId="73" borderId="92" xfId="0" applyNumberFormat="1" applyFont="1" applyFill="1" applyBorder="1"/>
    <xf numFmtId="3" fontId="0" fillId="73" borderId="93" xfId="0" applyNumberFormat="1" applyFont="1" applyFill="1" applyBorder="1"/>
    <xf numFmtId="0" fontId="0" fillId="73" borderId="94" xfId="0" applyFont="1" applyFill="1" applyBorder="1"/>
    <xf numFmtId="0" fontId="0" fillId="73" borderId="15" xfId="0" applyFont="1" applyFill="1" applyBorder="1" applyAlignment="1">
      <alignment horizontal="center"/>
    </xf>
    <xf numFmtId="9" fontId="103" fillId="73" borderId="26" xfId="33743" applyNumberFormat="1" applyFont="1" applyFill="1" applyBorder="1" applyAlignment="1">
      <alignment horizontal="center"/>
    </xf>
    <xf numFmtId="9" fontId="103" fillId="73" borderId="95" xfId="33743" applyNumberFormat="1" applyFont="1" applyFill="1" applyBorder="1" applyAlignment="1">
      <alignment horizontal="center"/>
    </xf>
    <xf numFmtId="4" fontId="0" fillId="73" borderId="75" xfId="0" applyNumberFormat="1" applyFont="1" applyFill="1" applyBorder="1"/>
    <xf numFmtId="0" fontId="0" fillId="73" borderId="96" xfId="0" applyFont="1" applyFill="1" applyBorder="1"/>
    <xf numFmtId="3" fontId="0" fillId="73" borderId="36" xfId="0" applyNumberFormat="1" applyFill="1" applyBorder="1"/>
    <xf numFmtId="3" fontId="0" fillId="73" borderId="37" xfId="0" applyNumberFormat="1" applyFill="1" applyBorder="1"/>
    <xf numFmtId="178" fontId="96" fillId="73" borderId="33" xfId="33743" applyNumberFormat="1" applyFont="1" applyFill="1" applyBorder="1" applyAlignment="1">
      <alignment horizontal="center"/>
    </xf>
    <xf numFmtId="3" fontId="0" fillId="73" borderId="83" xfId="0" applyNumberFormat="1" applyFill="1" applyBorder="1"/>
    <xf numFmtId="3" fontId="0" fillId="73" borderId="39" xfId="0" applyNumberFormat="1" applyFont="1" applyFill="1" applyBorder="1"/>
    <xf numFmtId="3" fontId="0" fillId="73" borderId="23" xfId="0" applyNumberFormat="1" applyFont="1" applyFill="1" applyBorder="1"/>
    <xf numFmtId="178" fontId="96" fillId="73" borderId="22" xfId="33743" applyNumberFormat="1" applyFont="1" applyFill="1" applyBorder="1" applyAlignment="1">
      <alignment horizontal="center"/>
    </xf>
    <xf numFmtId="3" fontId="0" fillId="73" borderId="85" xfId="0" applyNumberFormat="1" applyFont="1" applyFill="1" applyBorder="1"/>
    <xf numFmtId="4" fontId="0" fillId="68" borderId="30" xfId="0" applyNumberFormat="1" applyFill="1" applyBorder="1"/>
    <xf numFmtId="0" fontId="0" fillId="68" borderId="49" xfId="0" applyFont="1" applyFill="1" applyBorder="1"/>
    <xf numFmtId="4" fontId="0" fillId="68" borderId="29" xfId="0" applyNumberFormat="1" applyFill="1" applyBorder="1"/>
    <xf numFmtId="9" fontId="0" fillId="0" borderId="0" xfId="33743" applyFont="1"/>
    <xf numFmtId="4" fontId="0" fillId="68" borderId="82" xfId="0" applyNumberFormat="1" applyFill="1" applyBorder="1"/>
    <xf numFmtId="4" fontId="0" fillId="68" borderId="35" xfId="0" applyNumberFormat="1" applyFill="1" applyBorder="1"/>
    <xf numFmtId="3" fontId="0" fillId="68" borderId="35" xfId="0" applyNumberFormat="1" applyFont="1" applyFill="1" applyBorder="1"/>
    <xf numFmtId="4" fontId="0" fillId="68" borderId="38" xfId="0" applyNumberFormat="1" applyFill="1" applyBorder="1"/>
    <xf numFmtId="3" fontId="0" fillId="68" borderId="0" xfId="0" applyNumberFormat="1" applyFill="1" applyBorder="1"/>
    <xf numFmtId="0" fontId="92" fillId="73" borderId="30" xfId="0" applyFont="1" applyFill="1" applyBorder="1" applyAlignment="1">
      <alignment horizontal="center"/>
    </xf>
    <xf numFmtId="0" fontId="92" fillId="73" borderId="59" xfId="0" applyFont="1" applyFill="1" applyBorder="1" applyAlignment="1">
      <alignment horizontal="center"/>
    </xf>
    <xf numFmtId="0" fontId="92" fillId="73" borderId="82" xfId="0" applyFont="1" applyFill="1" applyBorder="1" applyAlignment="1">
      <alignment horizontal="center"/>
    </xf>
    <xf numFmtId="3" fontId="95" fillId="74" borderId="39" xfId="0" applyNumberFormat="1" applyFont="1" applyFill="1" applyBorder="1"/>
    <xf numFmtId="3" fontId="95" fillId="73" borderId="107" xfId="0" applyNumberFormat="1" applyFont="1" applyFill="1" applyBorder="1"/>
    <xf numFmtId="178" fontId="98" fillId="74" borderId="55" xfId="33743" applyNumberFormat="1" applyFont="1" applyFill="1" applyBorder="1"/>
    <xf numFmtId="3" fontId="95" fillId="74" borderId="85" xfId="0" applyNumberFormat="1" applyFont="1" applyFill="1" applyBorder="1"/>
    <xf numFmtId="178" fontId="98" fillId="74" borderId="89" xfId="33743" applyNumberFormat="1" applyFont="1" applyFill="1" applyBorder="1"/>
    <xf numFmtId="3" fontId="99" fillId="0" borderId="75" xfId="0" applyNumberFormat="1" applyFont="1" applyBorder="1"/>
    <xf numFmtId="3" fontId="99" fillId="0" borderId="76" xfId="0" applyNumberFormat="1" applyFont="1" applyBorder="1"/>
    <xf numFmtId="9" fontId="76" fillId="0" borderId="15" xfId="33743" applyFont="1" applyBorder="1"/>
    <xf numFmtId="3" fontId="99" fillId="0" borderId="100" xfId="0" applyNumberFormat="1" applyFont="1" applyBorder="1"/>
    <xf numFmtId="3" fontId="99" fillId="0" borderId="114" xfId="0" applyNumberFormat="1" applyFont="1" applyBorder="1"/>
    <xf numFmtId="3" fontId="99" fillId="0" borderId="122" xfId="0" applyNumberFormat="1" applyFont="1" applyBorder="1"/>
    <xf numFmtId="9" fontId="76" fillId="0" borderId="112" xfId="33743" applyFont="1" applyBorder="1"/>
    <xf numFmtId="3" fontId="99" fillId="0" borderId="117" xfId="0" applyNumberFormat="1" applyFont="1" applyBorder="1"/>
    <xf numFmtId="3" fontId="99" fillId="0" borderId="124" xfId="0" applyNumberFormat="1" applyFont="1" applyBorder="1"/>
    <xf numFmtId="3" fontId="99" fillId="0" borderId="125" xfId="0" applyNumberFormat="1" applyFont="1" applyBorder="1"/>
    <xf numFmtId="9" fontId="76" fillId="0" borderId="123" xfId="33743" applyFont="1" applyBorder="1"/>
    <xf numFmtId="3" fontId="99" fillId="0" borderId="126" xfId="0" applyNumberFormat="1" applyFont="1" applyBorder="1"/>
    <xf numFmtId="9" fontId="76" fillId="0" borderId="123" xfId="33743" applyNumberFormat="1" applyFont="1" applyBorder="1"/>
    <xf numFmtId="167" fontId="99" fillId="0" borderId="125" xfId="0" applyNumberFormat="1" applyFont="1" applyBorder="1"/>
    <xf numFmtId="0" fontId="0" fillId="0" borderId="127" xfId="0" applyFont="1" applyFill="1" applyBorder="1" applyAlignment="1">
      <alignment horizontal="left" indent="1"/>
    </xf>
    <xf numFmtId="0" fontId="100" fillId="0" borderId="0" xfId="0" applyFont="1" applyAlignment="1">
      <alignment horizontal="center" vertical="center"/>
    </xf>
    <xf numFmtId="1" fontId="0" fillId="0" borderId="0" xfId="0" applyNumberFormat="1"/>
    <xf numFmtId="4" fontId="0" fillId="73" borderId="92" xfId="0" applyNumberFormat="1" applyFont="1" applyFill="1" applyBorder="1"/>
    <xf numFmtId="10" fontId="103" fillId="68" borderId="45" xfId="33743" applyNumberFormat="1" applyFont="1" applyFill="1" applyBorder="1" applyAlignment="1">
      <alignment horizontal="center"/>
    </xf>
    <xf numFmtId="10" fontId="103" fillId="73" borderId="26" xfId="33743" applyNumberFormat="1" applyFont="1" applyFill="1" applyBorder="1" applyAlignment="1">
      <alignment horizontal="center"/>
    </xf>
    <xf numFmtId="10" fontId="103" fillId="73" borderId="95" xfId="33743" applyNumberFormat="1" applyFont="1" applyFill="1" applyBorder="1" applyAlignment="1">
      <alignment horizontal="center"/>
    </xf>
    <xf numFmtId="4" fontId="100" fillId="0" borderId="0" xfId="0" applyNumberFormat="1" applyFont="1"/>
    <xf numFmtId="167" fontId="0" fillId="73" borderId="36" xfId="0" applyNumberFormat="1" applyFill="1" applyBorder="1"/>
    <xf numFmtId="167" fontId="0" fillId="73" borderId="37" xfId="0" applyNumberFormat="1" applyFill="1" applyBorder="1"/>
    <xf numFmtId="0" fontId="0" fillId="0" borderId="0" xfId="0" applyFill="1"/>
    <xf numFmtId="9" fontId="96" fillId="68" borderId="25" xfId="33743" applyFont="1" applyFill="1" applyBorder="1" applyAlignment="1">
      <alignment horizontal="center"/>
    </xf>
    <xf numFmtId="182" fontId="0" fillId="68" borderId="35" xfId="0" applyNumberFormat="1" applyFill="1" applyBorder="1"/>
    <xf numFmtId="167" fontId="0" fillId="68" borderId="35" xfId="0" applyNumberFormat="1" applyFont="1" applyFill="1" applyBorder="1"/>
    <xf numFmtId="182" fontId="0" fillId="68" borderId="38" xfId="0" applyNumberFormat="1" applyFill="1" applyBorder="1"/>
    <xf numFmtId="182" fontId="0" fillId="68" borderId="35" xfId="0" applyNumberFormat="1" applyFont="1" applyFill="1" applyBorder="1"/>
    <xf numFmtId="167" fontId="0" fillId="68" borderId="0" xfId="0" applyNumberFormat="1" applyFont="1" applyFill="1" applyBorder="1"/>
    <xf numFmtId="182" fontId="0" fillId="68" borderId="0" xfId="0" applyNumberFormat="1" applyFont="1" applyFill="1" applyBorder="1"/>
    <xf numFmtId="182" fontId="0" fillId="68" borderId="29" xfId="0" applyNumberFormat="1" applyFill="1" applyBorder="1"/>
    <xf numFmtId="3" fontId="99" fillId="0" borderId="134" xfId="0" applyNumberFormat="1" applyFont="1" applyBorder="1"/>
    <xf numFmtId="3" fontId="99" fillId="0" borderId="135" xfId="0" applyNumberFormat="1" applyFont="1" applyBorder="1"/>
    <xf numFmtId="167" fontId="100" fillId="0" borderId="0" xfId="0" applyNumberFormat="1" applyFont="1"/>
    <xf numFmtId="167" fontId="0" fillId="0" borderId="0" xfId="0" applyNumberFormat="1"/>
    <xf numFmtId="182" fontId="100" fillId="0" borderId="0" xfId="0" applyNumberFormat="1" applyFont="1"/>
    <xf numFmtId="0" fontId="99" fillId="0" borderId="112" xfId="0" applyFont="1" applyFill="1" applyBorder="1"/>
    <xf numFmtId="0" fontId="0" fillId="0" borderId="113" xfId="0" applyFont="1" applyFill="1" applyBorder="1" applyAlignment="1">
      <alignment horizontal="left" indent="1"/>
    </xf>
    <xf numFmtId="0" fontId="99" fillId="0" borderId="123" xfId="0" applyFont="1" applyFill="1" applyBorder="1"/>
    <xf numFmtId="0" fontId="99" fillId="0" borderId="123" xfId="0" applyNumberFormat="1" applyFont="1" applyFill="1" applyBorder="1" applyAlignment="1">
      <alignment vertical="center"/>
    </xf>
    <xf numFmtId="0" fontId="99" fillId="0" borderId="132" xfId="0" applyFont="1" applyFill="1" applyBorder="1"/>
    <xf numFmtId="0" fontId="0" fillId="0" borderId="133" xfId="0" applyFont="1" applyFill="1" applyBorder="1" applyAlignment="1">
      <alignment horizontal="left" indent="1"/>
    </xf>
    <xf numFmtId="0" fontId="109" fillId="0" borderId="0" xfId="0" applyFont="1"/>
    <xf numFmtId="3" fontId="100" fillId="0" borderId="0" xfId="33743" applyNumberFormat="1" applyFont="1" applyAlignment="1"/>
    <xf numFmtId="0" fontId="99" fillId="0" borderId="15" xfId="0" applyFont="1" applyFill="1" applyBorder="1"/>
    <xf numFmtId="0" fontId="0" fillId="0" borderId="95" xfId="0" applyFont="1" applyFill="1" applyBorder="1" applyAlignment="1">
      <alignment horizontal="left" indent="1"/>
    </xf>
    <xf numFmtId="9" fontId="96" fillId="0" borderId="32" xfId="33743" applyNumberFormat="1" applyFont="1" applyBorder="1" applyAlignment="1">
      <alignment horizontal="center"/>
    </xf>
    <xf numFmtId="183" fontId="0" fillId="0" borderId="0" xfId="0" applyNumberFormat="1"/>
    <xf numFmtId="9" fontId="96" fillId="68" borderId="119" xfId="33743" applyNumberFormat="1" applyFont="1" applyFill="1" applyBorder="1" applyAlignment="1">
      <alignment horizontal="center"/>
    </xf>
    <xf numFmtId="9" fontId="96" fillId="68" borderId="121" xfId="33743" applyNumberFormat="1" applyFont="1" applyFill="1" applyBorder="1" applyAlignment="1">
      <alignment horizontal="center"/>
    </xf>
    <xf numFmtId="178" fontId="100" fillId="0" borderId="0" xfId="33743" applyNumberFormat="1" applyFont="1" applyAlignment="1">
      <alignment horizontal="center"/>
    </xf>
    <xf numFmtId="9" fontId="76" fillId="0" borderId="112" xfId="33743" applyNumberFormat="1" applyFont="1" applyBorder="1"/>
    <xf numFmtId="9" fontId="76" fillId="0" borderId="132" xfId="33743" applyNumberFormat="1" applyFont="1" applyBorder="1"/>
    <xf numFmtId="0" fontId="3" fillId="72" borderId="14" xfId="0" applyFont="1" applyFill="1" applyBorder="1" applyAlignment="1">
      <alignment horizontal="center" vertical="center"/>
    </xf>
    <xf numFmtId="0" fontId="3" fillId="72" borderId="0" xfId="0" applyFont="1" applyFill="1" applyBorder="1" applyAlignment="1">
      <alignment vertical="center"/>
    </xf>
    <xf numFmtId="0" fontId="92" fillId="72" borderId="30" xfId="0" applyFont="1" applyFill="1" applyBorder="1" applyAlignment="1">
      <alignment horizontal="center"/>
    </xf>
    <xf numFmtId="0" fontId="92" fillId="72" borderId="59" xfId="0" applyFont="1" applyFill="1" applyBorder="1" applyAlignment="1">
      <alignment horizontal="center"/>
    </xf>
    <xf numFmtId="0" fontId="95" fillId="72" borderId="19" xfId="0" applyFont="1" applyFill="1" applyBorder="1" applyAlignment="1">
      <alignment horizontal="center"/>
    </xf>
    <xf numFmtId="3" fontId="95" fillId="72" borderId="39" xfId="0" applyNumberFormat="1" applyFont="1" applyFill="1" applyBorder="1"/>
    <xf numFmtId="3" fontId="95" fillId="72" borderId="62" xfId="0" applyNumberFormat="1" applyFont="1" applyFill="1" applyBorder="1"/>
    <xf numFmtId="178" fontId="98" fillId="72" borderId="58" xfId="33743" applyNumberFormat="1" applyFont="1" applyFill="1" applyBorder="1"/>
    <xf numFmtId="167" fontId="95" fillId="72" borderId="62" xfId="0" applyNumberFormat="1" applyFont="1" applyFill="1" applyBorder="1"/>
    <xf numFmtId="10" fontId="98" fillId="72" borderId="58" xfId="33743" applyNumberFormat="1" applyFont="1" applyFill="1" applyBorder="1"/>
    <xf numFmtId="0" fontId="92" fillId="72" borderId="82" xfId="0" applyFont="1" applyFill="1" applyBorder="1" applyAlignment="1">
      <alignment horizontal="center"/>
    </xf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167" fontId="95" fillId="72" borderId="85" xfId="0" applyNumberFormat="1" applyFont="1" applyFill="1" applyBorder="1"/>
    <xf numFmtId="9" fontId="0" fillId="0" borderId="0" xfId="33743" applyNumberFormat="1" applyFont="1"/>
    <xf numFmtId="0" fontId="106" fillId="68" borderId="0" xfId="0" applyFont="1" applyFill="1" applyBorder="1"/>
    <xf numFmtId="178" fontId="0" fillId="0" borderId="0" xfId="33743" applyNumberFormat="1" applyFont="1" applyFill="1" applyBorder="1"/>
    <xf numFmtId="167" fontId="0" fillId="68" borderId="30" xfId="0" applyNumberFormat="1" applyFill="1" applyBorder="1"/>
    <xf numFmtId="167" fontId="0" fillId="68" borderId="60" xfId="0" applyNumberForma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3" fontId="0" fillId="73" borderId="136" xfId="0" applyNumberFormat="1" applyFont="1" applyFill="1" applyBorder="1"/>
    <xf numFmtId="3" fontId="95" fillId="73" borderId="62" xfId="0" applyNumberFormat="1" applyFont="1" applyFill="1" applyBorder="1"/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0" fontId="98" fillId="74" borderId="128" xfId="0" applyFont="1" applyFill="1" applyBorder="1" applyAlignment="1">
      <alignment horizontal="center" vertical="center"/>
    </xf>
    <xf numFmtId="0" fontId="98" fillId="74" borderId="129" xfId="0" applyFont="1" applyFill="1" applyBorder="1" applyAlignment="1">
      <alignment horizontal="center" vertical="center"/>
    </xf>
    <xf numFmtId="0" fontId="3" fillId="74" borderId="130" xfId="0" applyFont="1" applyFill="1" applyBorder="1" applyAlignment="1">
      <alignment horizontal="center" vertical="center"/>
    </xf>
    <xf numFmtId="0" fontId="3" fillId="74" borderId="95" xfId="0" applyFont="1" applyFill="1" applyBorder="1" applyAlignment="1">
      <alignment horizontal="center" vertical="center"/>
    </xf>
    <xf numFmtId="0" fontId="3" fillId="74" borderId="131" xfId="0" applyFont="1" applyFill="1" applyBorder="1" applyAlignment="1">
      <alignment horizontal="center" vertical="center"/>
    </xf>
    <xf numFmtId="0" fontId="3" fillId="74" borderId="118" xfId="0" applyFont="1" applyFill="1" applyBorder="1" applyAlignment="1">
      <alignment horizontal="center" vertical="center"/>
    </xf>
    <xf numFmtId="0" fontId="104" fillId="73" borderId="31" xfId="0" applyFont="1" applyFill="1" applyBorder="1" applyAlignment="1">
      <alignment horizontal="center" vertical="center"/>
    </xf>
    <xf numFmtId="0" fontId="104" fillId="73" borderId="26" xfId="0" applyFont="1" applyFill="1" applyBorder="1" applyAlignment="1">
      <alignment horizontal="center" vertical="center"/>
    </xf>
    <xf numFmtId="0" fontId="3" fillId="73" borderId="21" xfId="0" applyFont="1" applyFill="1" applyBorder="1" applyAlignment="1">
      <alignment horizontal="center"/>
    </xf>
    <xf numFmtId="0" fontId="3" fillId="73" borderId="50" xfId="0" applyFont="1" applyFill="1" applyBorder="1" applyAlignment="1">
      <alignment horizontal="center"/>
    </xf>
    <xf numFmtId="0" fontId="0" fillId="73" borderId="52" xfId="0" applyFont="1" applyFill="1" applyBorder="1" applyAlignment="1">
      <alignment horizontal="center"/>
    </xf>
    <xf numFmtId="0" fontId="0" fillId="73" borderId="53" xfId="0" applyFont="1" applyFill="1" applyBorder="1" applyAlignment="1">
      <alignment horizontal="center"/>
    </xf>
    <xf numFmtId="0" fontId="3" fillId="73" borderId="46" xfId="0" applyFont="1" applyFill="1" applyBorder="1" applyAlignment="1">
      <alignment horizontal="center"/>
    </xf>
    <xf numFmtId="0" fontId="3" fillId="73" borderId="54" xfId="0" applyFont="1" applyFill="1" applyBorder="1" applyAlignment="1">
      <alignment horizontal="center"/>
    </xf>
    <xf numFmtId="0" fontId="3" fillId="73" borderId="81" xfId="0" applyFont="1" applyFill="1" applyBorder="1" applyAlignment="1">
      <alignment horizontal="center"/>
    </xf>
    <xf numFmtId="3" fontId="0" fillId="68" borderId="17" xfId="0" applyNumberFormat="1" applyFill="1" applyBorder="1" applyAlignment="1">
      <alignment horizontal="right" vertical="center"/>
    </xf>
    <xf numFmtId="3" fontId="0" fillId="68" borderId="38" xfId="0" applyNumberFormat="1" applyFill="1" applyBorder="1" applyAlignment="1">
      <alignment horizontal="right" vertical="center"/>
    </xf>
    <xf numFmtId="9" fontId="96" fillId="68" borderId="25" xfId="33743" applyNumberFormat="1" applyFont="1" applyFill="1" applyBorder="1" applyAlignment="1">
      <alignment horizontal="center"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0" fillId="68" borderId="28" xfId="0" applyNumberFormat="1" applyFill="1" applyBorder="1" applyAlignment="1">
      <alignment horizontal="right" vertical="center"/>
    </xf>
    <xf numFmtId="3" fontId="0" fillId="68" borderId="29" xfId="0" applyNumberFormat="1" applyFill="1" applyBorder="1" applyAlignment="1">
      <alignment horizontal="right" vertical="center"/>
    </xf>
    <xf numFmtId="0" fontId="0" fillId="68" borderId="110" xfId="0" applyFill="1" applyBorder="1" applyAlignment="1">
      <alignment horizontal="center" vertical="center" wrapText="1"/>
    </xf>
    <xf numFmtId="0" fontId="0" fillId="68" borderId="118" xfId="0" applyFill="1" applyBorder="1" applyAlignment="1">
      <alignment horizontal="center" vertical="center" wrapText="1"/>
    </xf>
    <xf numFmtId="3" fontId="0" fillId="68" borderId="17" xfId="0" applyNumberFormat="1" applyFill="1" applyBorder="1" applyAlignment="1">
      <alignment vertical="center"/>
    </xf>
    <xf numFmtId="3" fontId="0" fillId="68" borderId="38" xfId="0" applyNumberFormat="1" applyFill="1" applyBorder="1" applyAlignment="1">
      <alignment vertical="center"/>
    </xf>
    <xf numFmtId="9" fontId="96" fillId="68" borderId="119" xfId="33743" applyFont="1" applyFill="1" applyBorder="1" applyAlignment="1">
      <alignment horizontal="center" vertical="center"/>
    </xf>
    <xf numFmtId="9" fontId="96" fillId="68" borderId="120" xfId="33743" applyFont="1" applyFill="1" applyBorder="1" applyAlignment="1">
      <alignment horizontal="center" vertical="center"/>
    </xf>
    <xf numFmtId="0" fontId="3" fillId="68" borderId="14" xfId="0" applyFont="1" applyFill="1" applyBorder="1" applyAlignment="1">
      <alignment horizontal="right"/>
    </xf>
    <xf numFmtId="0" fontId="3" fillId="68" borderId="51" xfId="0" applyFont="1" applyFill="1" applyBorder="1" applyAlignment="1">
      <alignment horizontal="right"/>
    </xf>
    <xf numFmtId="0" fontId="3" fillId="68" borderId="81" xfId="0" applyFont="1" applyFill="1" applyBorder="1" applyAlignment="1">
      <alignment horizontal="center"/>
    </xf>
    <xf numFmtId="0" fontId="0" fillId="68" borderId="16" xfId="0" applyFill="1" applyBorder="1" applyAlignment="1">
      <alignment horizontal="center" vertical="center" wrapText="1"/>
    </xf>
    <xf numFmtId="0" fontId="0" fillId="68" borderId="27" xfId="0" applyFill="1" applyBorder="1" applyAlignment="1">
      <alignment horizontal="center" vertical="center" wrapText="1"/>
    </xf>
    <xf numFmtId="0" fontId="0" fillId="68" borderId="40" xfId="0" applyFill="1" applyBorder="1" applyAlignment="1">
      <alignment horizontal="center" vertical="center"/>
    </xf>
    <xf numFmtId="0" fontId="0" fillId="68" borderId="41" xfId="0" applyFill="1" applyBorder="1" applyAlignment="1">
      <alignment horizontal="center" vertical="center"/>
    </xf>
    <xf numFmtId="3" fontId="0" fillId="68" borderId="86" xfId="0" applyNumberFormat="1" applyFill="1" applyBorder="1" applyAlignment="1">
      <alignment horizontal="right" vertical="center"/>
    </xf>
    <xf numFmtId="3" fontId="0" fillId="68" borderId="84" xfId="0" applyNumberFormat="1" applyFill="1" applyBorder="1" applyAlignment="1">
      <alignment horizontal="right" vertical="center"/>
    </xf>
    <xf numFmtId="0" fontId="98" fillId="74" borderId="89" xfId="0" applyFont="1" applyFill="1" applyBorder="1" applyAlignment="1">
      <alignment horizontal="center" vertical="center"/>
    </xf>
    <xf numFmtId="0" fontId="98" fillId="74" borderId="57" xfId="0" applyFont="1" applyFill="1" applyBorder="1" applyAlignment="1">
      <alignment horizontal="center" vertical="center"/>
    </xf>
    <xf numFmtId="0" fontId="3" fillId="73" borderId="52" xfId="0" applyFont="1" applyFill="1" applyBorder="1" applyAlignment="1">
      <alignment horizontal="center"/>
    </xf>
    <xf numFmtId="0" fontId="3" fillId="73" borderId="53" xfId="0" applyFont="1" applyFill="1" applyBorder="1" applyAlignment="1">
      <alignment horizontal="center"/>
    </xf>
    <xf numFmtId="9" fontId="96" fillId="68" borderId="25" xfId="33743" applyFont="1" applyFill="1" applyBorder="1" applyAlignment="1">
      <alignment horizontal="center" vertical="center"/>
    </xf>
    <xf numFmtId="9" fontId="96" fillId="68" borderId="34" xfId="33743" applyFont="1" applyFill="1" applyBorder="1" applyAlignment="1">
      <alignment horizontal="center" vertical="center"/>
    </xf>
    <xf numFmtId="167" fontId="0" fillId="68" borderId="28" xfId="0" applyNumberFormat="1" applyFill="1" applyBorder="1" applyAlignment="1">
      <alignment horizontal="right" vertical="center"/>
    </xf>
    <xf numFmtId="167" fontId="0" fillId="68" borderId="29" xfId="0" applyNumberFormat="1" applyFill="1" applyBorder="1" applyAlignment="1">
      <alignment horizontal="right" vertical="center"/>
    </xf>
    <xf numFmtId="167" fontId="0" fillId="68" borderId="17" xfId="0" applyNumberFormat="1" applyFill="1" applyBorder="1" applyAlignment="1">
      <alignment vertical="center"/>
    </xf>
    <xf numFmtId="167" fontId="0" fillId="68" borderId="38" xfId="0" applyNumberFormat="1" applyFill="1" applyBorder="1" applyAlignment="1">
      <alignment vertical="center"/>
    </xf>
    <xf numFmtId="0" fontId="3" fillId="72" borderId="46" xfId="0" applyFont="1" applyFill="1" applyBorder="1" applyAlignment="1">
      <alignment horizontal="center"/>
    </xf>
    <xf numFmtId="0" fontId="3" fillId="72" borderId="54" xfId="0" applyFont="1" applyFill="1" applyBorder="1" applyAlignment="1">
      <alignment horizontal="center"/>
    </xf>
    <xf numFmtId="0" fontId="104" fillId="72" borderId="31" xfId="0" applyFont="1" applyFill="1" applyBorder="1" applyAlignment="1">
      <alignment horizontal="center" vertical="center"/>
    </xf>
    <xf numFmtId="0" fontId="104" fillId="72" borderId="26" xfId="0" applyFont="1" applyFill="1" applyBorder="1" applyAlignment="1">
      <alignment horizontal="center" vertical="center"/>
    </xf>
    <xf numFmtId="0" fontId="96" fillId="72" borderId="81" xfId="0" applyFont="1" applyFill="1" applyBorder="1" applyAlignment="1">
      <alignment horizontal="center"/>
    </xf>
    <xf numFmtId="0" fontId="96" fillId="72" borderId="47" xfId="0" applyFont="1" applyFill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Enero 2020</a:t>
            </a:r>
          </a:p>
          <a:p>
            <a:pPr>
              <a:defRPr sz="800" b="1"/>
            </a:pPr>
            <a:r>
              <a:rPr lang="es-PE" sz="800" b="1"/>
              <a:t>Total : 4 956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'Resumenn(G)'!$Q$11:$R$15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'Resumenn(G)'!$S$11:$S$15</c:f>
              <c:numCache>
                <c:formatCode>#,##0</c:formatCode>
                <c:ptCount val="5"/>
                <c:pt idx="0">
                  <c:v>69.598304920365948</c:v>
                </c:pt>
                <c:pt idx="1">
                  <c:v>154.91235611307258</c:v>
                </c:pt>
                <c:pt idx="2">
                  <c:v>3287.1804578720703</c:v>
                </c:pt>
                <c:pt idx="3">
                  <c:v>1273.7803140882356</c:v>
                </c:pt>
                <c:pt idx="4">
                  <c:v>170.6137995325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2734.0963022944393</c:v>
                </c:pt>
                <c:pt idx="2" formatCode="_ * #,##0.00_ ;_ * \-#,##0.00_ ;_ * &quot;-&quot;??_ ;_ @_ ">
                  <c:v>6.5010000000000007E-3</c:v>
                </c:pt>
                <c:pt idx="3">
                  <c:v>1230.2339072929949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47.780815709999999</c:v>
                </c:pt>
                <c:pt idx="1">
                  <c:v>451.48674359558271</c:v>
                </c:pt>
                <c:pt idx="2">
                  <c:v>57.717047255000004</c:v>
                </c:pt>
                <c:pt idx="3">
                  <c:v>74.63037430747795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60.778284210363644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3964.336710587434</c:v>
                </c:pt>
                <c:pt idx="1">
                  <c:v>631.61498086806068</c:v>
                </c:pt>
                <c:pt idx="2">
                  <c:v>299.35525686038653</c:v>
                </c:pt>
                <c:pt idx="3">
                  <c:v>60.778284210363644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7600896"/>
        <c:axId val="127621760"/>
      </c:barChart>
      <c:catAx>
        <c:axId val="12760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7621760"/>
        <c:crosses val="autoZero"/>
        <c:auto val="1"/>
        <c:lblAlgn val="ctr"/>
        <c:lblOffset val="100"/>
        <c:noMultiLvlLbl val="0"/>
      </c:catAx>
      <c:valAx>
        <c:axId val="12762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760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HUANUCO</c:v>
                </c:pt>
                <c:pt idx="3">
                  <c:v>JUNIN</c:v>
                </c:pt>
                <c:pt idx="4">
                  <c:v>ANCASH</c:v>
                </c:pt>
                <c:pt idx="5">
                  <c:v>CALLAO</c:v>
                </c:pt>
                <c:pt idx="6">
                  <c:v>CUSCO</c:v>
                </c:pt>
                <c:pt idx="7">
                  <c:v>ICA</c:v>
                </c:pt>
                <c:pt idx="8">
                  <c:v>CAJAMARCA</c:v>
                </c:pt>
                <c:pt idx="9">
                  <c:v>AREQUIPA</c:v>
                </c:pt>
                <c:pt idx="10">
                  <c:v>PIURA</c:v>
                </c:pt>
                <c:pt idx="11">
                  <c:v>PUNO</c:v>
                </c:pt>
                <c:pt idx="12">
                  <c:v>PASCO</c:v>
                </c:pt>
                <c:pt idx="13">
                  <c:v>LA LIBERTAD</c:v>
                </c:pt>
                <c:pt idx="14">
                  <c:v>LORETO</c:v>
                </c:pt>
                <c:pt idx="15">
                  <c:v>MOQUEGUA</c:v>
                </c:pt>
                <c:pt idx="16">
                  <c:v>UCAYALI</c:v>
                </c:pt>
                <c:pt idx="17">
                  <c:v>TACNA</c:v>
                </c:pt>
                <c:pt idx="18">
                  <c:v>AMAZONAS</c:v>
                </c:pt>
                <c:pt idx="19">
                  <c:v>SAN MARTÍN</c:v>
                </c:pt>
                <c:pt idx="20">
                  <c:v>LAMBAYEQUE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1812.2269889305835</c:v>
                </c:pt>
                <c:pt idx="1">
                  <c:v>892.09534185472387</c:v>
                </c:pt>
                <c:pt idx="2">
                  <c:v>324.67300198673558</c:v>
                </c:pt>
                <c:pt idx="3">
                  <c:v>309.25971850963759</c:v>
                </c:pt>
                <c:pt idx="4">
                  <c:v>266.44304371283658</c:v>
                </c:pt>
                <c:pt idx="5">
                  <c:v>233.92722297523872</c:v>
                </c:pt>
                <c:pt idx="6">
                  <c:v>205.79416663752414</c:v>
                </c:pt>
                <c:pt idx="7">
                  <c:v>136.29234389447171</c:v>
                </c:pt>
                <c:pt idx="8">
                  <c:v>111.01630920858787</c:v>
                </c:pt>
                <c:pt idx="9">
                  <c:v>106.55583249931423</c:v>
                </c:pt>
                <c:pt idx="10">
                  <c:v>106.30802823768794</c:v>
                </c:pt>
                <c:pt idx="11">
                  <c:v>105.792189246688</c:v>
                </c:pt>
                <c:pt idx="12">
                  <c:v>103.40900907130973</c:v>
                </c:pt>
                <c:pt idx="13">
                  <c:v>63.62209408898412</c:v>
                </c:pt>
                <c:pt idx="14">
                  <c:v>60.778284210363644</c:v>
                </c:pt>
                <c:pt idx="15">
                  <c:v>58.412371214859455</c:v>
                </c:pt>
                <c:pt idx="16">
                  <c:v>22.302383546368095</c:v>
                </c:pt>
                <c:pt idx="17">
                  <c:v>13.199870511563224</c:v>
                </c:pt>
                <c:pt idx="18">
                  <c:v>5.9919543767300922</c:v>
                </c:pt>
                <c:pt idx="19">
                  <c:v>5.7822328796068208</c:v>
                </c:pt>
                <c:pt idx="20">
                  <c:v>5.4601953825861367</c:v>
                </c:pt>
                <c:pt idx="21">
                  <c:v>4.599779382069455</c:v>
                </c:pt>
                <c:pt idx="22">
                  <c:v>1.1744426862035853</c:v>
                </c:pt>
                <c:pt idx="23">
                  <c:v>0.80656801225739416</c:v>
                </c:pt>
                <c:pt idx="24">
                  <c:v>0.1618594693131245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27220736"/>
        <c:axId val="118293248"/>
      </c:barChart>
      <c:catAx>
        <c:axId val="1272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18293248"/>
        <c:crosses val="autoZero"/>
        <c:auto val="1"/>
        <c:lblAlgn val="ctr"/>
        <c:lblOffset val="100"/>
        <c:noMultiLvlLbl val="0"/>
      </c:catAx>
      <c:valAx>
        <c:axId val="118293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272207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N°14: Venta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Nivel de Tensión - Enero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VENTAS (D)'!$R$38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0858254309677091E-2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BC-492C-AF75-E653A6DAE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VENTAS (D)'!$Q$39:$Q$42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'Resumen VENTAS (D)'!$R$39:$R$42</c:f>
              <c:numCache>
                <c:formatCode>#,##0</c:formatCode>
                <c:ptCount val="4"/>
                <c:pt idx="0">
                  <c:v>1415.2524670000005</c:v>
                </c:pt>
                <c:pt idx="1">
                  <c:v>230.07357299999998</c:v>
                </c:pt>
                <c:pt idx="2">
                  <c:v>1087.7737203580855</c:v>
                </c:pt>
                <c:pt idx="3">
                  <c:v>1256.499708662333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7-4693-AE20-97B7737066CE}"/>
            </c:ext>
          </c:extLst>
        </c:ser>
        <c:ser>
          <c:idx val="1"/>
          <c:order val="1"/>
          <c:tx>
            <c:strRef>
              <c:f>'Resumen VENTAS (D)'!$S$38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14369073225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BC-492C-AF75-E653A6DAE181}"/>
                </c:ext>
              </c:extLst>
            </c:dLbl>
            <c:dLbl>
              <c:idx val="2"/>
              <c:layout>
                <c:manualLayout>
                  <c:x val="1.157199722761668E-2"/>
                  <c:y val="-6.17283950617289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8928993820451"/>
                      <c:h val="5.27471566054243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9BC-492C-AF75-E653A6DAE181}"/>
                </c:ext>
              </c:extLst>
            </c:dLbl>
            <c:dLbl>
              <c:idx val="3"/>
              <c:layout>
                <c:manualLayout>
                  <c:x val="2.31436907322577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BC-492C-AF75-E653A6DAE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VENTAS (D)'!$Q$39:$Q$42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'Resumen VENTAS (D)'!$S$39:$S$42</c:f>
              <c:numCache>
                <c:formatCode>#,##0</c:formatCode>
                <c:ptCount val="4"/>
                <c:pt idx="0">
                  <c:v>1496.1236527079363</c:v>
                </c:pt>
                <c:pt idx="1">
                  <c:v>209.80521727122451</c:v>
                </c:pt>
                <c:pt idx="2">
                  <c:v>1093.6999159256102</c:v>
                </c:pt>
                <c:pt idx="3">
                  <c:v>1293.1832184365055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7-4693-AE20-97B77370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346880"/>
        <c:axId val="118348800"/>
      </c:barChart>
      <c:catAx>
        <c:axId val="118346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Nivel de Tensión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348800"/>
        <c:crosses val="autoZero"/>
        <c:auto val="1"/>
        <c:lblAlgn val="ctr"/>
        <c:lblOffset val="100"/>
        <c:noMultiLvlLbl val="0"/>
      </c:catAx>
      <c:valAx>
        <c:axId val="1183488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5.4424119977864671E-2"/>
              <c:y val="0.14580148909957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34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88286498238105"/>
          <c:y val="0.2027078043815951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N°13: Venta de Energía Eléctrica Nacional </a:t>
            </a:r>
          </a:p>
          <a:p>
            <a:pPr>
              <a:defRPr sz="800" b="1"/>
            </a:pPr>
            <a:r>
              <a:rPr lang="es-PE" sz="800" b="1" i="0" baseline="0">
                <a:effectLst/>
              </a:rPr>
              <a:t>según Interconexión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VENTAS (D)'!$Q$24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4C-4618-B33D-5EA60DDB253B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4C-4618-B33D-5EA60DDB2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VENTAS (D)'!$R$23:$S$23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VENTAS (D)'!$R$24:$S$24</c:f>
              <c:numCache>
                <c:formatCode>#,##0</c:formatCode>
                <c:ptCount val="2"/>
                <c:pt idx="0">
                  <c:v>31.949258002093995</c:v>
                </c:pt>
                <c:pt idx="1">
                  <c:v>32.321980065344135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C-4618-B33D-5EA60DDB253B}"/>
            </c:ext>
          </c:extLst>
        </c:ser>
        <c:ser>
          <c:idx val="1"/>
          <c:order val="1"/>
          <c:tx>
            <c:strRef>
              <c:f>'Resumen VENTAS (D)'!$Q$25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4C-4618-B33D-5EA60DDB253B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4C-4618-B33D-5EA60DDB2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VENTAS (D)'!$R$23:$S$23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VENTAS (D)'!$R$25:$S$25</c:f>
              <c:numCache>
                <c:formatCode>#,##0</c:formatCode>
                <c:ptCount val="2"/>
                <c:pt idx="0">
                  <c:v>3957.6502110183251</c:v>
                </c:pt>
                <c:pt idx="1">
                  <c:v>4060.4900242759363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4C-4618-B33D-5EA60DDB2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342464"/>
        <c:axId val="127344000"/>
        <c:axId val="127234944"/>
      </c:bar3DChart>
      <c:catAx>
        <c:axId val="1273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7344000"/>
        <c:crosses val="autoZero"/>
        <c:auto val="1"/>
        <c:lblAlgn val="ctr"/>
        <c:lblOffset val="100"/>
        <c:noMultiLvlLbl val="0"/>
      </c:catAx>
      <c:valAx>
        <c:axId val="1273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7342464"/>
        <c:crosses val="autoZero"/>
        <c:crossBetween val="between"/>
      </c:valAx>
      <c:serAx>
        <c:axId val="127234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73440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800" b="1">
                <a:latin typeface="+mn-lt"/>
              </a:rPr>
              <a:t>Gráfico N° 12 Venta de Energía Eléctrica Nacional</a:t>
            </a:r>
          </a:p>
          <a:p>
            <a:pPr>
              <a:defRPr sz="800">
                <a:latin typeface="+mn-lt"/>
              </a:defRPr>
            </a:pPr>
            <a:r>
              <a:rPr lang="en-US" sz="800" b="1">
                <a:latin typeface="+mn-lt"/>
              </a:rPr>
              <a:t>Enero 2020</a:t>
            </a:r>
          </a:p>
          <a:p>
            <a:pPr>
              <a:defRPr sz="800">
                <a:latin typeface="+mn-lt"/>
              </a:defRPr>
            </a:pPr>
            <a:r>
              <a:rPr lang="en-US" sz="800" b="1">
                <a:latin typeface="+mn-lt"/>
              </a:rPr>
              <a:t>Total: 4 093 GWh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j-ea"/>
              <a:cs typeface="+mj-cs"/>
            </a:defRPr>
          </a:pPr>
          <a:endParaRPr lang="es-PE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explosion val="3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9-41E3-9636-F841FE42E28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FA-41C9-9B53-841B6D645DF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9-41E3-9636-F841FE42E28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A79-41E3-9636-F841FE42E287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A79-41E3-9636-F841FE42E287}"/>
              </c:ext>
            </c:extLst>
          </c:dPt>
          <c:dLbls>
            <c:dLbl>
              <c:idx val="0"/>
              <c:layout>
                <c:manualLayout>
                  <c:x val="-2.6245626904412601E-2"/>
                  <c:y val="6.56814449917898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EEE6FA9-D6C4-4C9E-9671-5494878E4163}" type="CATEGORYNAME">
                      <a:rPr lang="en-US" sz="700" b="1"/>
                      <a:pPr>
                        <a:defRPr sz="700" b="1"/>
                      </a:pPr>
                      <a:t>[NOMBRE DE CATEGORÍA]</a:t>
                    </a:fld>
                    <a:r>
                      <a:rPr lang="en-US" sz="700" b="1" baseline="0"/>
                      <a:t>;</a:t>
                    </a:r>
                  </a:p>
                  <a:p>
                    <a:pPr>
                      <a:defRPr sz="700" b="1"/>
                    </a:pPr>
                    <a:r>
                      <a:rPr lang="en-US" sz="700" b="1" baseline="0"/>
                      <a:t> </a:t>
                    </a:r>
                    <a:fld id="{BBEB940D-113D-4561-ACBD-E7F41765F270}" type="VALUE">
                      <a:rPr lang="en-US" sz="700" b="1" baseline="0"/>
                      <a:pPr>
                        <a:defRPr sz="700" b="1"/>
                      </a:pPr>
                      <a:t>[VALOR]</a:t>
                    </a:fld>
                    <a:r>
                      <a:rPr lang="en-US" sz="700" b="1" baseline="0"/>
                      <a:t>; </a:t>
                    </a:r>
                    <a:fld id="{E442EF09-4BD8-4D5A-A0EF-44CF67EDD8DC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A79-41E3-9636-F841FE42E287}"/>
                </c:ext>
              </c:extLst>
            </c:dLbl>
            <c:dLbl>
              <c:idx val="2"/>
              <c:layout>
                <c:manualLayout>
                  <c:x val="1.5392711589443279E-2"/>
                  <c:y val="-5.42054177190114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79AC5C1-5ED2-4ED1-97E6-D8FBE82324BA}" type="CATEGORYNAME">
                      <a:rPr lang="en-US" sz="700"/>
                      <a:pPr>
                        <a:defRPr sz="700" b="1"/>
                      </a:pPr>
                      <a:t>[NOMBRE DE CATEGORÍA]</a:t>
                    </a:fld>
                    <a:r>
                      <a:rPr lang="en-US" sz="700" baseline="0"/>
                      <a:t>;</a:t>
                    </a:r>
                  </a:p>
                  <a:p>
                    <a:pPr>
                      <a:defRPr sz="700" b="1"/>
                    </a:pPr>
                    <a:r>
                      <a:rPr lang="en-US" sz="700" baseline="0"/>
                      <a:t> </a:t>
                    </a:r>
                    <a:fld id="{3E5C14A0-9652-4EF0-BA67-41E42BDF3D06}" type="VALUE">
                      <a:rPr lang="en-US" sz="700" baseline="0"/>
                      <a:pPr>
                        <a:defRPr sz="700" b="1"/>
                      </a:pPr>
                      <a:t>[VALOR]</a:t>
                    </a:fld>
                    <a:r>
                      <a:rPr lang="en-US" sz="700" baseline="0"/>
                      <a:t>; </a:t>
                    </a:r>
                    <a:fld id="{C9227EAF-60D3-4E66-9580-ABA1EC8C5B4A}" type="PERCENTAGE">
                      <a:rPr lang="en-US" sz="700" baseline="0"/>
                      <a:pPr>
                        <a:defRPr sz="700" b="1"/>
                      </a:pPr>
                      <a:t>[PORCENTAJE]</a:t>
                    </a:fld>
                    <a:endParaRPr lang="en-US" sz="7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62394022997765"/>
                      <c:h val="0.2439065360732347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A79-41E3-9636-F841FE42E287}"/>
                </c:ext>
              </c:extLst>
            </c:dLbl>
            <c:dLbl>
              <c:idx val="3"/>
              <c:layout>
                <c:manualLayout>
                  <c:x val="1.3615848270222504E-2"/>
                  <c:y val="1.20804239092754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1EE08D-ECB1-48EF-B0A6-F3A4EF31C024}" type="CATEGORYNAME">
                      <a:rPr lang="en-US" sz="700"/>
                      <a:pPr>
                        <a:defRPr sz="700" b="1"/>
                      </a:pPr>
                      <a:t>[NOMBRE DE CATEGORÍA]</a:t>
                    </a:fld>
                    <a:r>
                      <a:rPr lang="en-US" sz="700" baseline="0"/>
                      <a:t>;</a:t>
                    </a:r>
                  </a:p>
                  <a:p>
                    <a:pPr>
                      <a:defRPr sz="700" b="1"/>
                    </a:pPr>
                    <a:r>
                      <a:rPr lang="en-US" sz="700" baseline="0"/>
                      <a:t> </a:t>
                    </a:r>
                    <a:fld id="{CE2DBE38-2E03-499C-BD5F-7DBCCFCE7271}" type="VALUE">
                      <a:rPr lang="en-US" sz="700" baseline="0"/>
                      <a:pPr>
                        <a:defRPr sz="700" b="1"/>
                      </a:pPr>
                      <a:t>[VALOR]</a:t>
                    </a:fld>
                    <a:r>
                      <a:rPr lang="en-US" sz="700" baseline="0"/>
                      <a:t>; </a:t>
                    </a:r>
                    <a:fld id="{19A9F203-94BA-4DCB-A76B-C181BEF6A84A}" type="PERCENTAGE">
                      <a:rPr lang="en-US" sz="700" baseline="0"/>
                      <a:pPr>
                        <a:defRPr sz="700" b="1"/>
                      </a:pPr>
                      <a:t>[PORCENTAJE]</a:t>
                    </a:fld>
                    <a:endParaRPr lang="en-US" sz="7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3074491008318"/>
                      <c:h val="0.223697330516612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A79-41E3-9636-F841FE42E287}"/>
                </c:ext>
              </c:extLst>
            </c:dLbl>
            <c:dLbl>
              <c:idx val="4"/>
              <c:layout>
                <c:manualLayout>
                  <c:x val="-0.1663903188561805"/>
                  <c:y val="-6.568144499178981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>
                        <a:solidFill>
                          <a:schemeClr val="bg1"/>
                        </a:solidFill>
                      </a:rPr>
                      <a:t>Distribuidor</a:t>
                    </a:r>
                    <a:r>
                      <a:rPr lang="en-US" sz="700" baseline="0">
                        <a:solidFill>
                          <a:schemeClr val="bg1"/>
                        </a:solidFill>
                      </a:rPr>
                      <a:t>;</a:t>
                    </a:r>
                  </a:p>
                  <a:p>
                    <a:pPr>
                      <a:defRPr sz="700" b="1">
                        <a:solidFill>
                          <a:schemeClr val="bg1"/>
                        </a:solidFill>
                      </a:defRPr>
                    </a:pPr>
                    <a:r>
                      <a:rPr lang="en-US" sz="700" baseline="0">
                        <a:solidFill>
                          <a:schemeClr val="bg1"/>
                        </a:solidFill>
                      </a:rPr>
                      <a:t> </a:t>
                    </a:r>
                    <a:fld id="{F73310B2-7677-4620-86B5-00F4322782A9}" type="VALUE">
                      <a:rPr lang="en-US" sz="700" baseline="0">
                        <a:solidFill>
                          <a:schemeClr val="bg1"/>
                        </a:solidFill>
                      </a:rPr>
                      <a:pPr>
                        <a:defRPr sz="7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sz="700" baseline="0">
                        <a:solidFill>
                          <a:schemeClr val="bg1"/>
                        </a:solidFill>
                      </a:rPr>
                      <a:t>; </a:t>
                    </a:r>
                    <a:fld id="{46C52439-4C08-4CB6-A03A-702D8E3561BB}" type="PERCENTAGE">
                      <a:rPr lang="en-US" sz="700" baseline="0">
                        <a:solidFill>
                          <a:schemeClr val="bg1"/>
                        </a:solidFill>
                      </a:rPr>
                      <a:pPr>
                        <a:defRPr sz="7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sz="700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A79-41E3-9636-F841FE42E2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VENTAS (D)'!$Q$11:$R$14</c:f>
              <c:multiLvlStrCache>
                <c:ptCount val="4"/>
                <c:lvl>
                  <c:pt idx="0">
                    <c:v>Mcdo Libre</c:v>
                  </c:pt>
                  <c:pt idx="2">
                    <c:v>Mcdo Regulado</c:v>
                  </c:pt>
                  <c:pt idx="3">
                    <c:v>Mcdo Libre</c:v>
                  </c:pt>
                </c:lvl>
                <c:lvl>
                  <c:pt idx="0">
                    <c:v>Generador al</c:v>
                  </c:pt>
                  <c:pt idx="2">
                    <c:v>Distribuidor al</c:v>
                  </c:pt>
                </c:lvl>
              </c:multiLvlStrCache>
            </c:multiLvlStrRef>
          </c:cat>
          <c:val>
            <c:numRef>
              <c:f>'Resumen VENTAS (D)'!$S$11:$S$14</c:f>
              <c:numCache>
                <c:formatCode>#,##0</c:formatCode>
                <c:ptCount val="4"/>
                <c:pt idx="0">
                  <c:v>2107.7981822357578</c:v>
                </c:pt>
                <c:pt idx="2">
                  <c:v>1701.1568455444301</c:v>
                </c:pt>
                <c:pt idx="3">
                  <c:v>283.85697656108925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9-41E3-9636-F841FE42E28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dk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/>
              <a:t>Gráfico N°15 Venta de Energía Eléctrica en la</a:t>
            </a:r>
            <a:r>
              <a:rPr lang="es-PE" sz="800" baseline="0"/>
              <a:t> Región Lima (GWh)</a:t>
            </a:r>
            <a:endParaRPr lang="es-PE" sz="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VENTAS (D)'!$R$60</c:f>
              <c:strCache>
                <c:ptCount val="1"/>
                <c:pt idx="0">
                  <c:v>Lima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'Resumen VENTAS (D)'!$S$59:$T$59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VENTAS (D)'!$S$60:$T$60</c:f>
              <c:numCache>
                <c:formatCode>#,##0</c:formatCode>
                <c:ptCount val="2"/>
                <c:pt idx="0">
                  <c:v>1556.3533892149876</c:v>
                </c:pt>
                <c:pt idx="1">
                  <c:v>1617.1423428366147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A-45E4-A67F-72CD3E86F80C}"/>
            </c:ext>
          </c:extLst>
        </c:ser>
        <c:ser>
          <c:idx val="1"/>
          <c:order val="1"/>
          <c:tx>
            <c:strRef>
              <c:f>'Resumen VENTAS (D)'!$R$61</c:f>
              <c:strCache>
                <c:ptCount val="1"/>
                <c:pt idx="0">
                  <c:v>Otras Regiones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'Resumen VENTAS (D)'!$S$59:$T$59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VENTAS (D)'!$S$61:$T$61</c:f>
              <c:numCache>
                <c:formatCode>#,##0</c:formatCode>
                <c:ptCount val="2"/>
                <c:pt idx="0">
                  <c:v>2433.2460798054517</c:v>
                </c:pt>
                <c:pt idx="1">
                  <c:v>2475.6696615046681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A-45E4-A67F-72CD3E86F8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1345408"/>
        <c:axId val="131351296"/>
      </c:barChart>
      <c:catAx>
        <c:axId val="1313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351296"/>
        <c:crosses val="autoZero"/>
        <c:auto val="1"/>
        <c:lblAlgn val="ctr"/>
        <c:lblOffset val="100"/>
        <c:noMultiLvlLbl val="0"/>
      </c:catAx>
      <c:valAx>
        <c:axId val="131351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3134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16 Venta de Energía Eléctrica - Enero</a:t>
            </a:r>
          </a:p>
          <a:p>
            <a:pPr>
              <a:defRPr sz="800" b="1"/>
            </a:pPr>
            <a:r>
              <a:rPr lang="es-PE" sz="800" b="1"/>
              <a:t>según zona del país (GWh)</a:t>
            </a:r>
          </a:p>
        </c:rich>
      </c:tx>
      <c:layout>
        <c:manualLayout>
          <c:xMode val="edge"/>
          <c:yMode val="edge"/>
          <c:x val="0.20447310465502158"/>
          <c:y val="3.252031132436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VENTAS (D)'!$S$70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6628352490421452E-3"/>
                  <c:y val="-3.4858395772710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8D-4AD2-A637-C8E46362FF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VENTAS (D)'!$R$71:$R$74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'Resumen VENTAS (D)'!$S$71:$S$74</c:f>
              <c:numCache>
                <c:formatCode>0</c:formatCode>
                <c:ptCount val="4"/>
                <c:pt idx="0">
                  <c:v>2181.6042283471602</c:v>
                </c:pt>
                <c:pt idx="1">
                  <c:v>1270.6865801477898</c:v>
                </c:pt>
                <c:pt idx="2">
                  <c:v>507.2773904284137</c:v>
                </c:pt>
                <c:pt idx="3">
                  <c:v>30.031270097076039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D-4AD2-A637-C8E46362FFA8}"/>
            </c:ext>
          </c:extLst>
        </c:ser>
        <c:ser>
          <c:idx val="1"/>
          <c:order val="1"/>
          <c:tx>
            <c:strRef>
              <c:f>'Resumen VENTAS (D)'!$T$70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4858395772710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8D-4AD2-A637-C8E46362FFA8}"/>
                </c:ext>
              </c:extLst>
            </c:dLbl>
            <c:dLbl>
              <c:idx val="2"/>
              <c:layout>
                <c:manualLayout>
                  <c:x val="-1.4048369001953096E-16"/>
                  <c:y val="-3.485839577271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8D-4AD2-A637-C8E46362FF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VENTAS (D)'!$R$71:$R$74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'Resumen VENTAS (D)'!$T$71:$T$74</c:f>
              <c:numCache>
                <c:formatCode>0</c:formatCode>
                <c:ptCount val="4"/>
                <c:pt idx="0">
                  <c:v>2246.1862634393933</c:v>
                </c:pt>
                <c:pt idx="1">
                  <c:v>1294.446387216411</c:v>
                </c:pt>
                <c:pt idx="2">
                  <c:v>520.94115154107294</c:v>
                </c:pt>
                <c:pt idx="3">
                  <c:v>31.238202144406017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8D-4AD2-A637-C8E46362F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396352"/>
        <c:axId val="131397888"/>
      </c:barChart>
      <c:catAx>
        <c:axId val="1313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397888"/>
        <c:crosses val="autoZero"/>
        <c:auto val="1"/>
        <c:lblAlgn val="ctr"/>
        <c:lblOffset val="100"/>
        <c:noMultiLvlLbl val="0"/>
      </c:catAx>
      <c:valAx>
        <c:axId val="1313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39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'Resumenn(G)'!$R$38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'Resumenn(G)'!$Q$39:$Q$42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'Resumenn(G)'!$R$39:$R$42</c:f>
              <c:numCache>
                <c:formatCode>#,##0</c:formatCode>
                <c:ptCount val="4"/>
                <c:pt idx="0">
                  <c:v>2901.8094056088348</c:v>
                </c:pt>
                <c:pt idx="1">
                  <c:v>1773.1765155417165</c:v>
                </c:pt>
                <c:pt idx="2">
                  <c:v>110.21798868249998</c:v>
                </c:pt>
                <c:pt idx="3">
                  <c:v>56.281983437499996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'Resumenn(G)'!$S$38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'Resumenn(G)'!$Q$39:$Q$42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'Resumenn(G)'!$S$39:$S$42</c:f>
              <c:numCache>
                <c:formatCode>#,##0</c:formatCode>
                <c:ptCount val="4"/>
                <c:pt idx="0">
                  <c:v>3356.7787627924363</c:v>
                </c:pt>
                <c:pt idx="1">
                  <c:v>1428.6926702013081</c:v>
                </c:pt>
                <c:pt idx="2">
                  <c:v>112.8967522775</c:v>
                </c:pt>
                <c:pt idx="3">
                  <c:v>57.717047255000004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81664"/>
        <c:axId val="118483584"/>
      </c:barChart>
      <c:catAx>
        <c:axId val="118481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483584"/>
        <c:crosses val="autoZero"/>
        <c:auto val="1"/>
        <c:lblAlgn val="ctr"/>
        <c:lblOffset val="100"/>
        <c:noMultiLvlLbl val="0"/>
      </c:catAx>
      <c:valAx>
        <c:axId val="1184835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48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N°19: Número de Clientes a Nivel Nacional</a:t>
            </a:r>
          </a:p>
          <a:p>
            <a:pPr>
              <a:defRPr sz="800" b="1"/>
            </a:pPr>
            <a:r>
              <a:rPr lang="es-PE" sz="800" b="1" baseline="0"/>
              <a:t>MAT, AT y MT - Enero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CLIENTES (D)'!$R$37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0858254309677091E-2"/>
                  <c:y val="-1.234567901234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FE-415B-87D0-89E64F8DFC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CLIENTES (D)'!$Q$38:$Q$40</c:f>
              <c:strCache>
                <c:ptCount val="3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</c:strCache>
            </c:strRef>
          </c:cat>
          <c:val>
            <c:numRef>
              <c:f>'Resumen CLIENTES (D)'!$R$38:$R$40</c:f>
              <c:numCache>
                <c:formatCode>#,##0</c:formatCode>
                <c:ptCount val="3"/>
                <c:pt idx="0">
                  <c:v>190</c:v>
                </c:pt>
                <c:pt idx="1">
                  <c:v>168</c:v>
                </c:pt>
                <c:pt idx="2">
                  <c:v>20562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E-415B-87D0-89E64F8DFC4E}"/>
            </c:ext>
          </c:extLst>
        </c:ser>
        <c:ser>
          <c:idx val="1"/>
          <c:order val="1"/>
          <c:tx>
            <c:strRef>
              <c:f>'Resumen CLIENTES (D)'!$S$37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14369073225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FE-415B-87D0-89E64F8DFC4E}"/>
                </c:ext>
              </c:extLst>
            </c:dLbl>
            <c:dLbl>
              <c:idx val="2"/>
              <c:layout>
                <c:manualLayout>
                  <c:x val="1.157199722761668E-2"/>
                  <c:y val="-6.17283950617289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8928993820451"/>
                      <c:h val="5.27471566054243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EFE-415B-87D0-89E64F8DFC4E}"/>
                </c:ext>
              </c:extLst>
            </c:dLbl>
            <c:dLbl>
              <c:idx val="3"/>
              <c:layout>
                <c:manualLayout>
                  <c:x val="2.31436907322577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FE-415B-87D0-89E64F8DFC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CLIENTES (D)'!$Q$38:$Q$40</c:f>
              <c:strCache>
                <c:ptCount val="3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</c:strCache>
            </c:strRef>
          </c:cat>
          <c:val>
            <c:numRef>
              <c:f>'Resumen CLIENTES (D)'!$S$38:$S$40</c:f>
              <c:numCache>
                <c:formatCode>#,##0</c:formatCode>
                <c:ptCount val="3"/>
                <c:pt idx="0">
                  <c:v>218</c:v>
                </c:pt>
                <c:pt idx="1">
                  <c:v>152</c:v>
                </c:pt>
                <c:pt idx="2">
                  <c:v>21080.000000000004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FE-415B-87D0-89E64F8D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644416"/>
        <c:axId val="131654784"/>
      </c:barChart>
      <c:catAx>
        <c:axId val="13164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Nivel de Tensión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654784"/>
        <c:crosses val="autoZero"/>
        <c:auto val="1"/>
        <c:lblAlgn val="ctr"/>
        <c:lblOffset val="100"/>
        <c:noMultiLvlLbl val="0"/>
      </c:catAx>
      <c:valAx>
        <c:axId val="1316547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6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88286498238105"/>
          <c:y val="0.2027078043815951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N°18: Número de Clientes (miles) a Nivel Nacional </a:t>
            </a:r>
          </a:p>
          <a:p>
            <a:pPr>
              <a:defRPr sz="800" b="1"/>
            </a:pPr>
            <a:r>
              <a:rPr lang="es-PE" sz="800" b="1" i="0" baseline="0">
                <a:effectLst/>
              </a:rPr>
              <a:t>según Interconexión - Enero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CLIENTES (D)'!$Q$24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FA-4D5C-B24E-8E48B8CD4CC3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FA-4D5C-B24E-8E48B8CD4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CLIENTES (D)'!$R$23:$S$23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CLIENTES (D)'!$R$24:$S$24</c:f>
              <c:numCache>
                <c:formatCode>#,##0</c:formatCode>
                <c:ptCount val="2"/>
                <c:pt idx="0">
                  <c:v>190.929</c:v>
                </c:pt>
                <c:pt idx="1">
                  <c:v>196.27500000000001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FA-4D5C-B24E-8E48B8CD4CC3}"/>
            </c:ext>
          </c:extLst>
        </c:ser>
        <c:ser>
          <c:idx val="1"/>
          <c:order val="1"/>
          <c:tx>
            <c:strRef>
              <c:f>'Resumen CLIENTES (D)'!$Q$25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FA-4D5C-B24E-8E48B8CD4CC3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FA-4D5C-B24E-8E48B8CD4C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CLIENTES (D)'!$R$23:$S$23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CLIENTES (D)'!$R$25:$S$25</c:f>
              <c:numCache>
                <c:formatCode>#,##0</c:formatCode>
                <c:ptCount val="2"/>
                <c:pt idx="0">
                  <c:v>7252.4089999999997</c:v>
                </c:pt>
                <c:pt idx="1">
                  <c:v>7455.8290000000006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FA-4D5C-B24E-8E48B8CD4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61824"/>
        <c:axId val="131663360"/>
        <c:axId val="63390592"/>
      </c:bar3DChart>
      <c:catAx>
        <c:axId val="13166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663360"/>
        <c:crosses val="autoZero"/>
        <c:auto val="1"/>
        <c:lblAlgn val="ctr"/>
        <c:lblOffset val="100"/>
        <c:noMultiLvlLbl val="0"/>
      </c:catAx>
      <c:valAx>
        <c:axId val="13166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661824"/>
        <c:crosses val="autoZero"/>
        <c:crossBetween val="between"/>
      </c:valAx>
      <c:serAx>
        <c:axId val="63390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66336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/>
              <a:t>Gráfico N°21: Número de Clientes (miles) en la</a:t>
            </a:r>
            <a:r>
              <a:rPr lang="es-PE" sz="800" baseline="0"/>
              <a:t> Región Lima - Enero</a:t>
            </a:r>
            <a:endParaRPr lang="es-PE" sz="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CLIENTES (D)'!$R$59</c:f>
              <c:strCache>
                <c:ptCount val="1"/>
                <c:pt idx="0">
                  <c:v>Lima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'Resumen CLIENTES (D)'!$S$58:$T$58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CLIENTES (D)'!$S$59:$T$59</c:f>
              <c:numCache>
                <c:formatCode>#,##0</c:formatCode>
                <c:ptCount val="2"/>
                <c:pt idx="0">
                  <c:v>2367.1559999999999</c:v>
                </c:pt>
                <c:pt idx="1">
                  <c:v>2427.0619999999999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8-4B95-9309-8A960B8BE38E}"/>
            </c:ext>
          </c:extLst>
        </c:ser>
        <c:ser>
          <c:idx val="1"/>
          <c:order val="1"/>
          <c:tx>
            <c:strRef>
              <c:f>'Resumen CLIENTES (D)'!$R$60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'Resumen CLIENTES (D)'!$S$58:$T$58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CLIENTES (D)'!$S$60:$T$60</c:f>
              <c:numCache>
                <c:formatCode>#,##0</c:formatCode>
                <c:ptCount val="2"/>
                <c:pt idx="0">
                  <c:v>5076.1819999999989</c:v>
                </c:pt>
                <c:pt idx="1">
                  <c:v>5225.0420000000004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8-4B95-9309-8A960B8BE3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1700224"/>
        <c:axId val="131701760"/>
      </c:barChart>
      <c:catAx>
        <c:axId val="13170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701760"/>
        <c:crosses val="autoZero"/>
        <c:auto val="1"/>
        <c:lblAlgn val="ctr"/>
        <c:lblOffset val="100"/>
        <c:noMultiLvlLbl val="0"/>
      </c:catAx>
      <c:valAx>
        <c:axId val="131701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3170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20: Número de Clientes (miles) según zona del país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247897562597995"/>
          <c:y val="0.18365809690474533"/>
          <c:w val="0.83372570912719157"/>
          <c:h val="0.58618438106116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CLIENTES (D)'!$S$69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6628352490421452E-3"/>
                  <c:y val="-3.4858395772710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25-4681-AC29-651F052CB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CLIENTES (D)'!$R$70:$R$73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'Resumen CLIENTES (D)'!$S$70:$S$73</c:f>
              <c:numCache>
                <c:formatCode>0</c:formatCode>
                <c:ptCount val="4"/>
                <c:pt idx="0">
                  <c:v>3646.3789999999999</c:v>
                </c:pt>
                <c:pt idx="1">
                  <c:v>1821.9579999999999</c:v>
                </c:pt>
                <c:pt idx="2">
                  <c:v>1832.1699999999998</c:v>
                </c:pt>
                <c:pt idx="3">
                  <c:v>142.83099999999999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5-4681-AC29-651F052CB1F5}"/>
            </c:ext>
          </c:extLst>
        </c:ser>
        <c:ser>
          <c:idx val="1"/>
          <c:order val="1"/>
          <c:tx>
            <c:strRef>
              <c:f>'Resumen CLIENTES (D)'!$T$69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4858395772710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25-4681-AC29-651F052CB1F5}"/>
                </c:ext>
              </c:extLst>
            </c:dLbl>
            <c:dLbl>
              <c:idx val="2"/>
              <c:layout>
                <c:manualLayout>
                  <c:x val="-1.4048369001953096E-16"/>
                  <c:y val="-3.485839577271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25-4681-AC29-651F052CB1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CLIENTES (D)'!$R$70:$R$73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'Resumen CLIENTES (D)'!$T$70:$T$73</c:f>
              <c:numCache>
                <c:formatCode>0</c:formatCode>
                <c:ptCount val="4"/>
                <c:pt idx="0">
                  <c:v>3739.9320000000002</c:v>
                </c:pt>
                <c:pt idx="1">
                  <c:v>1878.93</c:v>
                </c:pt>
                <c:pt idx="2">
                  <c:v>1885.932</c:v>
                </c:pt>
                <c:pt idx="3">
                  <c:v>147.31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5-4681-AC29-651F052CB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759104"/>
        <c:axId val="131773184"/>
      </c:barChart>
      <c:catAx>
        <c:axId val="1317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773184"/>
        <c:crosses val="autoZero"/>
        <c:auto val="1"/>
        <c:lblAlgn val="ctr"/>
        <c:lblOffset val="100"/>
        <c:noMultiLvlLbl val="0"/>
      </c:catAx>
      <c:valAx>
        <c:axId val="13177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75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000" cap="none" baseline="0"/>
              <a:t>Grafico N°22: Facturación en el sector eléctrico; </a:t>
            </a:r>
          </a:p>
          <a:p>
            <a:pPr>
              <a:defRPr sz="1000" cap="none"/>
            </a:pPr>
            <a:r>
              <a:rPr lang="es-PE" sz="1000" cap="none" baseline="0"/>
              <a:t>mes diciembre 2019</a:t>
            </a:r>
          </a:p>
          <a:p>
            <a:pPr>
              <a:defRPr sz="1000" cap="none"/>
            </a:pPr>
            <a:r>
              <a:rPr lang="es-PE" sz="1000" cap="none" baseline="0"/>
              <a:t>Total Facturado: 640 mio US$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11111111111108E-2"/>
          <c:y val="0.30532407407407414"/>
          <c:w val="0.93055555555555558"/>
          <c:h val="0.671527777777777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E93-414B-A405-0E3D93B7AB01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AE93-414B-A405-0E3D93B7AB01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AE93-414B-A405-0E3D93B7AB01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E93-414B-A405-0E3D93B7AB01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AE93-414B-A405-0E3D93B7AB01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AE93-414B-A405-0E3D93B7AB01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('Resumen FACTURACIÓN'!$C$11,'Resumen FACTURACIÓN'!$C$13,'Resumen FACTURACIÓN'!$C$15)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('Resumen FACTURACIÓN'!$E$11,'Resumen FACTURACIÓN'!$E$13,'Resumen FACTURACIÓN'!$E$15)</c:f>
              <c:numCache>
                <c:formatCode>#,##0</c:formatCode>
                <c:ptCount val="3"/>
                <c:pt idx="0">
                  <c:v>282.51145817628776</c:v>
                </c:pt>
                <c:pt idx="1">
                  <c:v>47.418584819677392</c:v>
                </c:pt>
                <c:pt idx="2">
                  <c:v>310.1838667994889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3-414B-A405-0E3D93B7AB0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'Resumenn(G)'!$Q$24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'Resumenn(G)'!$R$24:$S$24</c:f>
              <c:numCache>
                <c:formatCode>#,##0</c:formatCode>
                <c:ptCount val="2"/>
                <c:pt idx="0">
                  <c:v>210.10682348651676</c:v>
                </c:pt>
                <c:pt idx="1">
                  <c:v>214.83686853199359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'Resumenn(G)'!$Q$25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'Resumenn(G)'!$R$25:$S$25</c:f>
              <c:numCache>
                <c:formatCode>#,##0</c:formatCode>
                <c:ptCount val="2"/>
                <c:pt idx="0">
                  <c:v>4631.3790697840341</c:v>
                </c:pt>
                <c:pt idx="1">
                  <c:v>4741.2483639942502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776256"/>
        <c:axId val="127777792"/>
        <c:axId val="63432448"/>
      </c:bar3DChart>
      <c:catAx>
        <c:axId val="12777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7777792"/>
        <c:crosses val="autoZero"/>
        <c:auto val="1"/>
        <c:lblAlgn val="ctr"/>
        <c:lblOffset val="100"/>
        <c:noMultiLvlLbl val="0"/>
      </c:catAx>
      <c:valAx>
        <c:axId val="12777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7776256"/>
        <c:crosses val="autoZero"/>
        <c:crossBetween val="between"/>
      </c:valAx>
      <c:serAx>
        <c:axId val="63432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777779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'Resumenn(G)'!$Q$58:$R$58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'Resumenn(G)'!$T$58:$U$58</c:f>
              <c:numCache>
                <c:formatCode>#,##0</c:formatCode>
                <c:ptCount val="2"/>
                <c:pt idx="0">
                  <c:v>2753.5770240413349</c:v>
                </c:pt>
                <c:pt idx="1">
                  <c:v>3125.6310467049366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'Resumenn(G)'!$Q$59:$R$59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'Resumenn(G)'!$T$59:$U$59</c:f>
              <c:numCache>
                <c:formatCode>#,##0</c:formatCode>
                <c:ptCount val="2"/>
                <c:pt idx="0">
                  <c:v>1734.7039751192165</c:v>
                </c:pt>
                <c:pt idx="1">
                  <c:v>1390.6105721156891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'Resumenn(G)'!$Q$60:$R$60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'Resumenn(G)'!$T$60:$U$60</c:f>
              <c:numCache>
                <c:formatCode>#,##0</c:formatCode>
                <c:ptCount val="2"/>
                <c:pt idx="0">
                  <c:v>148.23238156750003</c:v>
                </c:pt>
                <c:pt idx="1">
                  <c:v>231.14771608749987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'Resumenn(G)'!$Q$61:$R$61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'Resumenn(G)'!$T$57:$U$57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'Resumenn(G)'!$T$61:$U$61</c:f>
              <c:numCache>
                <c:formatCode>#,##0</c:formatCode>
                <c:ptCount val="2"/>
                <c:pt idx="0">
                  <c:v>204.97251254249997</c:v>
                </c:pt>
                <c:pt idx="1">
                  <c:v>208.69589761811895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8306176"/>
        <c:axId val="130818816"/>
        <c:axId val="0"/>
      </c:bar3DChart>
      <c:catAx>
        <c:axId val="12830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0818816"/>
        <c:crosses val="autoZero"/>
        <c:auto val="1"/>
        <c:lblAlgn val="ctr"/>
        <c:lblOffset val="100"/>
        <c:noMultiLvlLbl val="0"/>
      </c:catAx>
      <c:valAx>
        <c:axId val="1308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830617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3356.7787627924363</c:v>
                </c:pt>
                <c:pt idx="1">
                  <c:v>1279.775399164577</c:v>
                </c:pt>
                <c:pt idx="2">
                  <c:v>110.4603863137263</c:v>
                </c:pt>
                <c:pt idx="3">
                  <c:v>38.082098085618952</c:v>
                </c:pt>
                <c:pt idx="4">
                  <c:v>112.8967522775</c:v>
                </c:pt>
                <c:pt idx="5">
                  <c:v>57.717047255000004</c:v>
                </c:pt>
                <c:pt idx="6" formatCode="#,##0.0">
                  <c:v>0.37478663738616141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0866560"/>
        <c:axId val="118094080"/>
      </c:barChart>
      <c:catAx>
        <c:axId val="1308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8094080"/>
        <c:crosses val="autoZero"/>
        <c:auto val="1"/>
        <c:lblAlgn val="ctr"/>
        <c:lblOffset val="100"/>
        <c:noMultiLvlLbl val="0"/>
      </c:catAx>
      <c:valAx>
        <c:axId val="11809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086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4636.5133807280517</c:v>
                </c:pt>
                <c:pt idx="1">
                  <c:v>4747.3893349081254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204.9725125425</c:v>
                </c:pt>
                <c:pt idx="1">
                  <c:v>208.69589761811898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31139072"/>
        <c:axId val="131140608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76645806482544E-2"/>
                  <c:y val="2.2061885673757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42725116544E-2"/>
                  <c:y val="3.5246316063627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4.2336695192565277E-2</c:v>
                </c:pt>
                <c:pt idx="1">
                  <c:v>4.2109021097633807E-2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68896"/>
        <c:axId val="131167360"/>
      </c:lineChart>
      <c:catAx>
        <c:axId val="13113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140608"/>
        <c:crosses val="autoZero"/>
        <c:auto val="1"/>
        <c:lblAlgn val="ctr"/>
        <c:lblOffset val="100"/>
        <c:noMultiLvlLbl val="1"/>
      </c:catAx>
      <c:valAx>
        <c:axId val="131140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139072"/>
        <c:crosses val="autoZero"/>
        <c:crossBetween val="between"/>
        <c:majorUnit val="1000"/>
      </c:valAx>
      <c:valAx>
        <c:axId val="13116736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168896"/>
        <c:crosses val="max"/>
        <c:crossBetween val="between"/>
      </c:valAx>
      <c:catAx>
        <c:axId val="13116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1167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2901.8094056088348</c:v>
                </c:pt>
                <c:pt idx="1">
                  <c:v>1622.6160949249993</c:v>
                </c:pt>
                <c:pt idx="2">
                  <c:v>111.66775349421732</c:v>
                </c:pt>
                <c:pt idx="3" formatCode="#,##0.00">
                  <c:v>0.42012669999999996</c:v>
                </c:pt>
                <c:pt idx="4">
                  <c:v>38.472540422500003</c:v>
                </c:pt>
                <c:pt idx="5">
                  <c:v>110.21798868249998</c:v>
                </c:pt>
                <c:pt idx="6">
                  <c:v>56.281983437499996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3356.7787627924363</c:v>
                </c:pt>
                <c:pt idx="1">
                  <c:v>1279.775399164577</c:v>
                </c:pt>
                <c:pt idx="2">
                  <c:v>110.4603863137263</c:v>
                </c:pt>
                <c:pt idx="3" formatCode="#,##0.00">
                  <c:v>0.37478663738616141</c:v>
                </c:pt>
                <c:pt idx="4">
                  <c:v>38.082098085618952</c:v>
                </c:pt>
                <c:pt idx="5">
                  <c:v>112.8967522775</c:v>
                </c:pt>
                <c:pt idx="6">
                  <c:v>57.717047255000004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65.1159365675</c:v>
                </c:pt>
                <c:pt idx="1">
                  <c:v>171.19571690241446</c:v>
                </c:pt>
                <c:pt idx="2">
                  <c:v>0</c:v>
                </c:pt>
                <c:pt idx="3">
                  <c:v>63.043603390472072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image" Target="../media/image12.pn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image" Target="../media/image11.jpeg"/><Relationship Id="rId5" Type="http://schemas.openxmlformats.org/officeDocument/2006/relationships/image" Target="../media/image8.png"/><Relationship Id="rId4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enero 2020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2020 vs 2019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4762</xdr:colOff>
      <xdr:row>61</xdr:row>
      <xdr:rowOff>23813</xdr:rowOff>
    </xdr:from>
    <xdr:to>
      <xdr:col>8</xdr:col>
      <xdr:colOff>144065</xdr:colOff>
      <xdr:row>70</xdr:row>
      <xdr:rowOff>45244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552451" y="3268436"/>
          <a:ext cx="4006644" cy="5497284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146052</xdr:colOff>
      <xdr:row>37</xdr:row>
      <xdr:rowOff>57149</xdr:rowOff>
    </xdr:from>
    <xdr:to>
      <xdr:col>14</xdr:col>
      <xdr:colOff>666751</xdr:colOff>
      <xdr:row>51</xdr:row>
      <xdr:rowOff>95249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752475</xdr:colOff>
      <xdr:row>6</xdr:row>
      <xdr:rowOff>104775</xdr:rowOff>
    </xdr:from>
    <xdr:to>
      <xdr:col>13</xdr:col>
      <xdr:colOff>590550</xdr:colOff>
      <xdr:row>18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457199</xdr:colOff>
      <xdr:row>54</xdr:row>
      <xdr:rowOff>28575</xdr:rowOff>
    </xdr:from>
    <xdr:to>
      <xdr:col>14</xdr:col>
      <xdr:colOff>371475</xdr:colOff>
      <xdr:row>65</xdr:row>
      <xdr:rowOff>76199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142875</xdr:colOff>
      <xdr:row>66</xdr:row>
      <xdr:rowOff>133349</xdr:rowOff>
    </xdr:from>
    <xdr:to>
      <xdr:col>14</xdr:col>
      <xdr:colOff>685800</xdr:colOff>
      <xdr:row>81</xdr:row>
      <xdr:rowOff>47625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189347</xdr:colOff>
      <xdr:row>35</xdr:row>
      <xdr:rowOff>83126</xdr:rowOff>
    </xdr:from>
    <xdr:to>
      <xdr:col>13</xdr:col>
      <xdr:colOff>242455</xdr:colOff>
      <xdr:row>49</xdr:row>
      <xdr:rowOff>112567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20</xdr:row>
      <xdr:rowOff>66675</xdr:rowOff>
    </xdr:from>
    <xdr:to>
      <xdr:col>13</xdr:col>
      <xdr:colOff>152400</xdr:colOff>
      <xdr:row>32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327313</xdr:colOff>
      <xdr:row>70</xdr:row>
      <xdr:rowOff>141141</xdr:rowOff>
    </xdr:from>
    <xdr:to>
      <xdr:col>12</xdr:col>
      <xdr:colOff>535998</xdr:colOff>
      <xdr:row>81</xdr:row>
      <xdr:rowOff>162788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156730</xdr:colOff>
      <xdr:row>53</xdr:row>
      <xdr:rowOff>38099</xdr:rowOff>
    </xdr:from>
    <xdr:to>
      <xdr:col>13</xdr:col>
      <xdr:colOff>285750</xdr:colOff>
      <xdr:row>68</xdr:row>
      <xdr:rowOff>112569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441613</xdr:colOff>
      <xdr:row>23</xdr:row>
      <xdr:rowOff>77931</xdr:rowOff>
    </xdr:from>
    <xdr:to>
      <xdr:col>24</xdr:col>
      <xdr:colOff>555514</xdr:colOff>
      <xdr:row>54</xdr:row>
      <xdr:rowOff>36651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13443238" y="3926031"/>
          <a:ext cx="3923901" cy="5054595"/>
          <a:chOff x="10269682" y="7178386"/>
          <a:chExt cx="4564673" cy="5950811"/>
        </a:xfrm>
      </xdr:grpSpPr>
      <xdr:pic>
        <xdr:nvPicPr>
          <xdr:cNvPr id="24" name="9 Imagen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69682" y="7178386"/>
            <a:ext cx="4564673" cy="5950811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$Y$76">
        <xdr:nvSpPr>
          <xdr:cNvPr id="10" name="Hexágon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12082843" y="11213521"/>
            <a:ext cx="568088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C8AD4EBA-29F2-44CE-B610-85FE930E92C9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103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69">
        <xdr:nvSpPr>
          <xdr:cNvPr id="28" name="Hexágono 27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/>
        </xdr:nvSpPr>
        <xdr:spPr>
          <a:xfrm>
            <a:off x="11233842" y="10035887"/>
            <a:ext cx="597172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68905B5E-EFE6-4EE6-B072-9C3A6847C90F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284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85">
        <xdr:nvSpPr>
          <xdr:cNvPr id="30" name="Hexágono 29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/>
        </xdr:nvSpPr>
        <xdr:spPr>
          <a:xfrm>
            <a:off x="13613957" y="12719845"/>
            <a:ext cx="578294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521D0E4D-B4C2-4963-BDB5-1EDE1FE26B8D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109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3">
        <xdr:nvSpPr>
          <xdr:cNvPr id="36" name="Hexágono 35"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SpPr/>
        </xdr:nvSpPr>
        <xdr:spPr>
          <a:xfrm>
            <a:off x="11132126" y="8612331"/>
            <a:ext cx="537719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F89C7376-3861-46D4-8C8E-A4B11483385F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83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2">
        <xdr:nvSpPr>
          <xdr:cNvPr id="44" name="Hexágono 43"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SpPr/>
        </xdr:nvSpPr>
        <xdr:spPr>
          <a:xfrm>
            <a:off x="12137535" y="10332354"/>
            <a:ext cx="549695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AFBD8B64-7ECB-46AD-8F7D-0F0B395374ED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64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67">
        <xdr:nvSpPr>
          <xdr:cNvPr id="50" name="Hexágono 49">
            <a:extLst>
              <a:ext uri="{FF2B5EF4-FFF2-40B4-BE49-F238E27FC236}">
                <a16:creationId xmlns:a16="http://schemas.microsoft.com/office/drawing/2014/main" id="{00000000-0008-0000-0500-000032000000}"/>
              </a:ext>
            </a:extLst>
          </xdr:cNvPr>
          <xdr:cNvSpPr/>
        </xdr:nvSpPr>
        <xdr:spPr>
          <a:xfrm>
            <a:off x="11514716" y="9339695"/>
            <a:ext cx="578200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2673F49A-820F-4B17-943E-228276451BC1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217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68">
        <xdr:nvSpPr>
          <xdr:cNvPr id="53" name="Hexágono 52"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/>
        </xdr:nvSpPr>
        <xdr:spPr>
          <a:xfrm>
            <a:off x="12231831" y="8326582"/>
            <a:ext cx="737445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4E3C4021-A2ED-4705-B8C0-507CFA15DBA5}" type="TxLink">
              <a:rPr lang="en-US" sz="800" b="1" i="0" u="none" strike="noStrike">
                <a:solidFill>
                  <a:sysClr val="windowText" lastClr="000000"/>
                </a:solidFill>
                <a:latin typeface="Arial"/>
                <a:cs typeface="Arial"/>
              </a:rPr>
              <a:pPr algn="l"/>
              <a:t>147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1">
        <xdr:nvSpPr>
          <xdr:cNvPr id="56" name="Hexágono 55"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/>
        </xdr:nvSpPr>
        <xdr:spPr>
          <a:xfrm>
            <a:off x="11411444" y="10650340"/>
            <a:ext cx="641181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CDC261CA-A010-46C1-AFE9-14815E529938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2 427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84">
        <xdr:nvSpPr>
          <xdr:cNvPr id="57" name="Hexágono 56">
            <a:extLst>
              <a:ext uri="{FF2B5EF4-FFF2-40B4-BE49-F238E27FC236}">
                <a16:creationId xmlns:a16="http://schemas.microsoft.com/office/drawing/2014/main" id="{00000000-0008-0000-0500-000039000000}"/>
              </a:ext>
            </a:extLst>
          </xdr:cNvPr>
          <xdr:cNvSpPr/>
        </xdr:nvSpPr>
        <xdr:spPr>
          <a:xfrm>
            <a:off x="13543446" y="12448653"/>
            <a:ext cx="483508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40F08BD6-5103-4ACF-9AE4-A0A527A404F2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60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81">
        <xdr:nvSpPr>
          <xdr:cNvPr id="59" name="Hexágono 58">
            <a:extLst>
              <a:ext uri="{FF2B5EF4-FFF2-40B4-BE49-F238E27FC236}">
                <a16:creationId xmlns:a16="http://schemas.microsoft.com/office/drawing/2014/main" id="{00000000-0008-0000-0500-00003B000000}"/>
              </a:ext>
            </a:extLst>
          </xdr:cNvPr>
          <xdr:cNvSpPr/>
        </xdr:nvSpPr>
        <xdr:spPr>
          <a:xfrm>
            <a:off x="13667510" y="10922578"/>
            <a:ext cx="540761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1C3E65ED-F5DC-4197-AF74-B2D5D2FD3CA8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38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6">
        <xdr:nvSpPr>
          <xdr:cNvPr id="61" name="Hexágono 60"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/>
        </xdr:nvSpPr>
        <xdr:spPr>
          <a:xfrm>
            <a:off x="11002097" y="9609499"/>
            <a:ext cx="526725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ECA540F9-5725-40A0-930A-251EE5E7AC46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467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9">
        <xdr:nvSpPr>
          <xdr:cNvPr id="63" name="Hexágono 62">
            <a:extLst>
              <a:ext uri="{FF2B5EF4-FFF2-40B4-BE49-F238E27FC236}">
                <a16:creationId xmlns:a16="http://schemas.microsoft.com/office/drawing/2014/main" id="{00000000-0008-0000-0500-00003F000000}"/>
              </a:ext>
            </a:extLst>
          </xdr:cNvPr>
          <xdr:cNvSpPr/>
        </xdr:nvSpPr>
        <xdr:spPr>
          <a:xfrm>
            <a:off x="12787962" y="11559886"/>
            <a:ext cx="503744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9409FEA1-00F4-4048-B5E7-319D5D250EB1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133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74">
        <xdr:nvSpPr>
          <xdr:cNvPr id="65" name="Hexágono 64">
            <a:extLst>
              <a:ext uri="{FF2B5EF4-FFF2-40B4-BE49-F238E27FC236}">
                <a16:creationId xmlns:a16="http://schemas.microsoft.com/office/drawing/2014/main" id="{00000000-0008-0000-0500-000041000000}"/>
              </a:ext>
            </a:extLst>
          </xdr:cNvPr>
          <xdr:cNvSpPr/>
        </xdr:nvSpPr>
        <xdr:spPr>
          <a:xfrm>
            <a:off x="11377726" y="10941628"/>
            <a:ext cx="507743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E9221E1E-F0DA-4F82-978E-B1B278343F8D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232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61">
        <xdr:nvSpPr>
          <xdr:cNvPr id="67" name="Hexágono 66">
            <a:extLst>
              <a:ext uri="{FF2B5EF4-FFF2-40B4-BE49-F238E27FC236}">
                <a16:creationId xmlns:a16="http://schemas.microsoft.com/office/drawing/2014/main" id="{00000000-0008-0000-0500-000043000000}"/>
              </a:ext>
            </a:extLst>
          </xdr:cNvPr>
          <xdr:cNvSpPr/>
        </xdr:nvSpPr>
        <xdr:spPr>
          <a:xfrm>
            <a:off x="10414059" y="8275313"/>
            <a:ext cx="450273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3D6941AB-B44C-4114-AB20-3F9544BBB87D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56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5">
        <xdr:nvSpPr>
          <xdr:cNvPr id="68" name="Hexágono 67">
            <a:extLst>
              <a:ext uri="{FF2B5EF4-FFF2-40B4-BE49-F238E27FC236}">
                <a16:creationId xmlns:a16="http://schemas.microsoft.com/office/drawing/2014/main" id="{00000000-0008-0000-0500-000044000000}"/>
              </a:ext>
            </a:extLst>
          </xdr:cNvPr>
          <xdr:cNvSpPr/>
        </xdr:nvSpPr>
        <xdr:spPr>
          <a:xfrm>
            <a:off x="12133209" y="10742469"/>
            <a:ext cx="522918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EDC92644-2822-4CB4-B297-4C539D900CE6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363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3">
        <xdr:nvSpPr>
          <xdr:cNvPr id="70" name="Hexágono 69">
            <a:extLst>
              <a:ext uri="{FF2B5EF4-FFF2-40B4-BE49-F238E27FC236}">
                <a16:creationId xmlns:a16="http://schemas.microsoft.com/office/drawing/2014/main" id="{00000000-0008-0000-0500-000046000000}"/>
              </a:ext>
            </a:extLst>
          </xdr:cNvPr>
          <xdr:cNvSpPr/>
        </xdr:nvSpPr>
        <xdr:spPr>
          <a:xfrm>
            <a:off x="12695960" y="10158846"/>
            <a:ext cx="450273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414AB6B1-1BEC-47BF-87C7-D70DB2493EE5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97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83">
        <xdr:nvSpPr>
          <xdr:cNvPr id="71" name="Hexágono 70">
            <a:extLst>
              <a:ext uri="{FF2B5EF4-FFF2-40B4-BE49-F238E27FC236}">
                <a16:creationId xmlns:a16="http://schemas.microsoft.com/office/drawing/2014/main" id="{00000000-0008-0000-0500-000047000000}"/>
              </a:ext>
            </a:extLst>
          </xdr:cNvPr>
          <xdr:cNvSpPr/>
        </xdr:nvSpPr>
        <xdr:spPr>
          <a:xfrm>
            <a:off x="13744907" y="11705360"/>
            <a:ext cx="532204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B7E2E8CD-5A89-4D1A-87D1-AA407D963507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308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82">
        <xdr:nvSpPr>
          <xdr:cNvPr id="72" name="Hexágono 71">
            <a:extLst>
              <a:ext uri="{FF2B5EF4-FFF2-40B4-BE49-F238E27FC236}">
                <a16:creationId xmlns:a16="http://schemas.microsoft.com/office/drawing/2014/main" id="{00000000-0008-0000-0500-000048000000}"/>
              </a:ext>
            </a:extLst>
          </xdr:cNvPr>
          <xdr:cNvSpPr/>
        </xdr:nvSpPr>
        <xdr:spPr>
          <a:xfrm>
            <a:off x="13019643" y="12058650"/>
            <a:ext cx="519711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726CC588-1901-4807-9754-F974F8B4334D}" type="TxLink">
              <a:rPr lang="en-US" sz="800" b="0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443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2">
        <xdr:nvSpPr>
          <xdr:cNvPr id="74" name="Hexágono 73">
            <a:extLst>
              <a:ext uri="{FF2B5EF4-FFF2-40B4-BE49-F238E27FC236}">
                <a16:creationId xmlns:a16="http://schemas.microsoft.com/office/drawing/2014/main" id="{00000000-0008-0000-0500-00004A000000}"/>
              </a:ext>
            </a:extLst>
          </xdr:cNvPr>
          <xdr:cNvSpPr/>
        </xdr:nvSpPr>
        <xdr:spPr>
          <a:xfrm>
            <a:off x="10451524" y="8650432"/>
            <a:ext cx="543422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FBC296DA-DB7F-47FA-9D46-EB97F6C0A444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461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8">
        <xdr:nvSpPr>
          <xdr:cNvPr id="75" name="Hexágono 74">
            <a:extLst>
              <a:ext uri="{FF2B5EF4-FFF2-40B4-BE49-F238E27FC236}">
                <a16:creationId xmlns:a16="http://schemas.microsoft.com/office/drawing/2014/main" id="{00000000-0008-0000-0500-00004B000000}"/>
              </a:ext>
            </a:extLst>
          </xdr:cNvPr>
          <xdr:cNvSpPr/>
        </xdr:nvSpPr>
        <xdr:spPr>
          <a:xfrm>
            <a:off x="12364891" y="11599717"/>
            <a:ext cx="516374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5C0A2BA0-AC8C-437F-B3FD-68DE45F066C9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171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5">
        <xdr:nvSpPr>
          <xdr:cNvPr id="78" name="Hexágono 77">
            <a:extLst>
              <a:ext uri="{FF2B5EF4-FFF2-40B4-BE49-F238E27FC236}">
                <a16:creationId xmlns:a16="http://schemas.microsoft.com/office/drawing/2014/main" id="{00000000-0008-0000-0500-00004E000000}"/>
              </a:ext>
            </a:extLst>
          </xdr:cNvPr>
          <xdr:cNvSpPr/>
        </xdr:nvSpPr>
        <xdr:spPr>
          <a:xfrm>
            <a:off x="10939752" y="9232322"/>
            <a:ext cx="498411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41069031-8907-4E28-A171-44899076597A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302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80">
        <xdr:nvSpPr>
          <xdr:cNvPr id="79" name="Hexágono 78">
            <a:extLst>
              <a:ext uri="{FF2B5EF4-FFF2-40B4-BE49-F238E27FC236}">
                <a16:creationId xmlns:a16="http://schemas.microsoft.com/office/drawing/2014/main" id="{00000000-0008-0000-0500-00004F000000}"/>
              </a:ext>
            </a:extLst>
          </xdr:cNvPr>
          <xdr:cNvSpPr/>
        </xdr:nvSpPr>
        <xdr:spPr>
          <a:xfrm>
            <a:off x="13210308" y="11331287"/>
            <a:ext cx="534598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CC28A16C-24A2-4990-A7A1-8395CCC24751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391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70">
        <xdr:nvSpPr>
          <xdr:cNvPr id="81" name="Hexágono 80">
            <a:extLst>
              <a:ext uri="{FF2B5EF4-FFF2-40B4-BE49-F238E27FC236}">
                <a16:creationId xmlns:a16="http://schemas.microsoft.com/office/drawing/2014/main" id="{00000000-0008-0000-0500-000051000000}"/>
              </a:ext>
            </a:extLst>
          </xdr:cNvPr>
          <xdr:cNvSpPr/>
        </xdr:nvSpPr>
        <xdr:spPr>
          <a:xfrm>
            <a:off x="11713872" y="10110354"/>
            <a:ext cx="570432" cy="303069"/>
          </a:xfrm>
          <a:prstGeom prst="hexagon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077CAEC9-CD03-4204-8494-447EF9383036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169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$Y$77">
        <xdr:nvSpPr>
          <xdr:cNvPr id="82" name="Hexágono 81">
            <a:extLst>
              <a:ext uri="{FF2B5EF4-FFF2-40B4-BE49-F238E27FC236}">
                <a16:creationId xmlns:a16="http://schemas.microsoft.com/office/drawing/2014/main" id="{00000000-0008-0000-0500-000052000000}"/>
              </a:ext>
            </a:extLst>
          </xdr:cNvPr>
          <xdr:cNvSpPr/>
        </xdr:nvSpPr>
        <xdr:spPr>
          <a:xfrm>
            <a:off x="11951893" y="11612507"/>
            <a:ext cx="501613" cy="29440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72E9CEC4-24C2-4829-9761-9D0C682495AA}" type="TxLink">
              <a:rPr lang="en-US" sz="800" b="1" i="0" u="none" strike="noStrike">
                <a:solidFill>
                  <a:schemeClr val="bg1"/>
                </a:solidFill>
                <a:latin typeface="Arial"/>
                <a:cs typeface="Arial"/>
              </a:rPr>
              <a:pPr algn="l"/>
              <a:t>226</a:t>
            </a:fld>
            <a:endParaRPr lang="es-PE" sz="800" b="1">
              <a:solidFill>
                <a:schemeClr val="bg1"/>
              </a:solidFill>
            </a:endParaRPr>
          </a:p>
        </xdr:txBody>
      </xdr:sp>
      <xdr:sp macro="" textlink="$Y$64">
        <xdr:nvSpPr>
          <xdr:cNvPr id="83" name="Hexágono 82">
            <a:extLst>
              <a:ext uri="{FF2B5EF4-FFF2-40B4-BE49-F238E27FC236}">
                <a16:creationId xmlns:a16="http://schemas.microsoft.com/office/drawing/2014/main" id="{00000000-0008-0000-0500-000053000000}"/>
              </a:ext>
            </a:extLst>
          </xdr:cNvPr>
          <xdr:cNvSpPr/>
        </xdr:nvSpPr>
        <xdr:spPr>
          <a:xfrm>
            <a:off x="10579677" y="9098972"/>
            <a:ext cx="516000" cy="303069"/>
          </a:xfrm>
          <a:prstGeom prst="hexagon">
            <a:avLst>
              <a:gd name="adj" fmla="val 0"/>
              <a:gd name="vf" fmla="val 115470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fld id="{65CE46EA-F1BB-4396-894D-6CAF7E344128}" type="TxLink">
              <a:rPr lang="en-US" sz="8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301</a:t>
            </a:fld>
            <a:endParaRPr lang="es-PE" sz="8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10330819" y="12001472"/>
            <a:ext cx="1757797" cy="101698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1100" b="1"/>
              <a:t>Número de Clientes </a:t>
            </a:r>
            <a:r>
              <a:rPr lang="es-PE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(miles)</a:t>
            </a:r>
          </a:p>
          <a:p>
            <a:pPr algn="ctr"/>
            <a:r>
              <a:rPr lang="es-PE" sz="1000" b="1"/>
              <a:t>a Enero 2020</a:t>
            </a:r>
            <a:r>
              <a:rPr lang="es-PE" sz="1000" b="1" baseline="0"/>
              <a:t> </a:t>
            </a:r>
          </a:p>
          <a:p>
            <a:pPr algn="l"/>
            <a:r>
              <a:rPr lang="es-PE" sz="1100" b="0" baseline="0"/>
              <a:t>             </a:t>
            </a:r>
            <a:r>
              <a:rPr lang="es-PE" sz="1400" b="1"/>
              <a:t>7 652</a:t>
            </a:r>
          </a:p>
        </xdr:txBody>
      </xdr:sp>
    </xdr:grpSp>
    <xdr:clientData/>
  </xdr:twoCellAnchor>
  <xdr:twoCellAnchor>
    <xdr:from>
      <xdr:col>8</xdr:col>
      <xdr:colOff>9525</xdr:colOff>
      <xdr:row>6</xdr:row>
      <xdr:rowOff>142876</xdr:rowOff>
    </xdr:from>
    <xdr:to>
      <xdr:col>14</xdr:col>
      <xdr:colOff>104775</xdr:colOff>
      <xdr:row>16</xdr:row>
      <xdr:rowOff>86592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6D24C075-8FCA-4398-A5ED-7410DA6536BD}"/>
            </a:ext>
          </a:extLst>
        </xdr:cNvPr>
        <xdr:cNvGrpSpPr/>
      </xdr:nvGrpSpPr>
      <xdr:grpSpPr>
        <a:xfrm>
          <a:off x="4924425" y="1190626"/>
          <a:ext cx="4095750" cy="1601066"/>
          <a:chOff x="4936548" y="1199285"/>
          <a:chExt cx="4095750" cy="1623580"/>
        </a:xfrm>
      </xdr:grpSpPr>
      <xdr:sp macro="" textlink="">
        <xdr:nvSpPr>
          <xdr:cNvPr id="8" name="Rectángulo: esquinas redondeadas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4936548" y="1199285"/>
            <a:ext cx="4095750" cy="1623580"/>
          </a:xfrm>
          <a:prstGeom prst="roundRect">
            <a:avLst/>
          </a:prstGeom>
          <a:solidFill>
            <a:schemeClr val="bg1"/>
          </a:solidFill>
          <a:ln w="3175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ysClr val="windowText" lastClr="000000"/>
                </a:solidFill>
              </a:rPr>
              <a:t>Grafico N° 9: Número</a:t>
            </a:r>
            <a:r>
              <a:rPr lang="es-PE" sz="1000" b="1" baseline="0">
                <a:solidFill>
                  <a:sysClr val="windowText" lastClr="000000"/>
                </a:solidFill>
              </a:rPr>
              <a:t> de Clientes a Nivel Nacional - Enero 2020</a:t>
            </a:r>
          </a:p>
          <a:p>
            <a:pPr algn="ctr"/>
            <a:r>
              <a:rPr lang="es-PE" sz="1000" b="1" baseline="0">
                <a:solidFill>
                  <a:sysClr val="windowText" lastClr="000000"/>
                </a:solidFill>
              </a:rPr>
              <a:t>7 652 miles de clientes</a:t>
            </a:r>
            <a:endParaRPr lang="es-PE" sz="10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 txBox="1"/>
        </xdr:nvSpPr>
        <xdr:spPr>
          <a:xfrm>
            <a:off x="5367770" y="2326837"/>
            <a:ext cx="1143001" cy="4349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1000"/>
              <a:t>Mcdo. Regulado</a:t>
            </a:r>
          </a:p>
          <a:p>
            <a:pPr algn="ctr"/>
            <a:r>
              <a:rPr lang="es-PE" sz="1000"/>
              <a:t>7 650</a:t>
            </a:r>
          </a:p>
        </xdr:txBody>
      </xdr:sp>
      <xdr:sp macro="" textlink="">
        <xdr:nvSpPr>
          <xdr:cNvPr id="38" name="CuadroTexto 37">
            <a:extLst>
              <a:ext uri="{FF2B5EF4-FFF2-40B4-BE49-F238E27FC236}">
                <a16:creationId xmlns:a16="http://schemas.microsoft.com/office/drawing/2014/main" id="{00000000-0008-0000-0500-000026000000}"/>
              </a:ext>
            </a:extLst>
          </xdr:cNvPr>
          <xdr:cNvSpPr txBox="1"/>
        </xdr:nvSpPr>
        <xdr:spPr>
          <a:xfrm>
            <a:off x="6528954" y="2326838"/>
            <a:ext cx="1143001" cy="4349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1000"/>
              <a:t>Mcdo. Libre (G)</a:t>
            </a:r>
          </a:p>
          <a:p>
            <a:pPr algn="ctr"/>
            <a:r>
              <a:rPr lang="es-PE" sz="1000"/>
              <a:t>1,23</a:t>
            </a:r>
          </a:p>
        </xdr:txBody>
      </xdr:sp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SpPr txBox="1"/>
        </xdr:nvSpPr>
        <xdr:spPr>
          <a:xfrm>
            <a:off x="7659831" y="2310526"/>
            <a:ext cx="1143001" cy="4349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1000"/>
              <a:t>Mcdo. Libre (D)</a:t>
            </a:r>
          </a:p>
          <a:p>
            <a:pPr algn="ctr"/>
            <a:r>
              <a:rPr lang="es-PE" sz="1000"/>
              <a:t>0,99</a:t>
            </a:r>
          </a:p>
        </xdr:txBody>
      </xdr:sp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11092" y="1705841"/>
            <a:ext cx="606135" cy="606135"/>
          </a:xfrm>
          <a:prstGeom prst="rect">
            <a:avLst/>
          </a:prstGeom>
        </xdr:spPr>
      </xdr:pic>
      <xdr:pic>
        <xdr:nvPicPr>
          <xdr:cNvPr id="7" name="6 Imagen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8843" y="1751934"/>
            <a:ext cx="482112" cy="482112"/>
          </a:xfrm>
          <a:prstGeom prst="rect">
            <a:avLst/>
          </a:prstGeom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5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93208" y="1727488"/>
            <a:ext cx="482112" cy="482112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23812</xdr:rowOff>
    </xdr:from>
    <xdr:to>
      <xdr:col>8</xdr:col>
      <xdr:colOff>190500</xdr:colOff>
      <xdr:row>37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view="pageBreakPreview" topLeftCell="A10" zoomScaleNormal="120" zoomScaleSheetLayoutView="100" workbookViewId="0">
      <selection activeCell="F46" sqref="F46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155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83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1"/>
      <c r="D8" s="131"/>
      <c r="E8" s="131"/>
      <c r="F8" s="131"/>
      <c r="G8" s="131"/>
      <c r="H8" s="9"/>
      <c r="I8" s="9"/>
      <c r="J8" s="9"/>
      <c r="K8" s="9"/>
    </row>
    <row r="9" spans="2:19" s="1" customFormat="1" ht="25.5">
      <c r="B9" s="8"/>
      <c r="C9" s="183" t="s">
        <v>63</v>
      </c>
      <c r="D9" s="184" t="s">
        <v>70</v>
      </c>
      <c r="E9" s="185" t="s">
        <v>71</v>
      </c>
      <c r="F9" s="186" t="s">
        <v>72</v>
      </c>
      <c r="G9" s="187" t="s">
        <v>73</v>
      </c>
      <c r="H9" s="9"/>
      <c r="I9" s="9"/>
      <c r="J9" s="9"/>
      <c r="K9" s="9"/>
    </row>
    <row r="10" spans="2:19" s="1" customFormat="1" ht="13.5" thickBot="1">
      <c r="B10" s="8"/>
      <c r="C10" s="188" t="s">
        <v>64</v>
      </c>
      <c r="D10" s="189"/>
      <c r="E10" s="190"/>
      <c r="F10" s="191"/>
      <c r="G10" s="192"/>
      <c r="H10" s="9"/>
      <c r="I10" s="9"/>
      <c r="J10" s="9"/>
      <c r="K10" s="9"/>
    </row>
    <row r="11" spans="2:19" s="1" customFormat="1" ht="13.5" thickTop="1">
      <c r="B11" s="8"/>
      <c r="C11" s="132"/>
      <c r="D11" s="133"/>
      <c r="E11" s="134"/>
      <c r="F11" s="135"/>
      <c r="G11" s="136"/>
      <c r="H11" s="9"/>
      <c r="I11" s="9"/>
      <c r="J11" s="9"/>
      <c r="K11" s="9"/>
      <c r="Q11" s="496" t="s">
        <v>65</v>
      </c>
      <c r="R11" s="146" t="s">
        <v>41</v>
      </c>
      <c r="S11" s="147">
        <f>E12</f>
        <v>69.598304920365948</v>
      </c>
    </row>
    <row r="12" spans="2:19" s="1" customFormat="1">
      <c r="B12" s="8"/>
      <c r="C12" s="137" t="s">
        <v>67</v>
      </c>
      <c r="D12" s="138">
        <v>3287.1804578720703</v>
      </c>
      <c r="E12" s="139">
        <v>69.598304920365948</v>
      </c>
      <c r="F12" s="140">
        <f>SUM(D12:E12)</f>
        <v>3356.7787627924363</v>
      </c>
      <c r="G12" s="349">
        <f>(F12/F$16)</f>
        <v>0.67730448636400864</v>
      </c>
      <c r="H12" s="9"/>
      <c r="I12" s="9"/>
      <c r="J12" s="9"/>
      <c r="K12" s="9"/>
      <c r="Q12" s="496"/>
      <c r="R12" s="146" t="s">
        <v>74</v>
      </c>
      <c r="S12" s="147">
        <f>E13</f>
        <v>154.91235611307258</v>
      </c>
    </row>
    <row r="13" spans="2:19" s="1" customFormat="1">
      <c r="B13" s="8"/>
      <c r="C13" s="137" t="s">
        <v>66</v>
      </c>
      <c r="D13" s="138">
        <v>1273.7803140882356</v>
      </c>
      <c r="E13" s="139">
        <v>154.91235611307258</v>
      </c>
      <c r="F13" s="140">
        <f>SUM(D13:E13)</f>
        <v>1428.6926702013081</v>
      </c>
      <c r="G13" s="349">
        <f>(F13/F$16)-0.002</f>
        <v>0.28627039955345296</v>
      </c>
      <c r="H13" s="9"/>
      <c r="I13" s="9"/>
      <c r="J13" s="9"/>
      <c r="K13" s="9"/>
      <c r="Q13" s="496" t="s">
        <v>89</v>
      </c>
      <c r="R13" s="146" t="s">
        <v>41</v>
      </c>
      <c r="S13" s="147">
        <f>D12</f>
        <v>3287.1804578720703</v>
      </c>
    </row>
    <row r="14" spans="2:19" s="1" customFormat="1">
      <c r="B14" s="8"/>
      <c r="C14" s="137" t="s">
        <v>68</v>
      </c>
      <c r="D14" s="138">
        <v>112.8967522775</v>
      </c>
      <c r="E14" s="141"/>
      <c r="F14" s="140">
        <f>SUM(D14:E14)</f>
        <v>112.8967522775</v>
      </c>
      <c r="G14" s="349">
        <f>(F14/F$16)</f>
        <v>2.2779421051230313E-2</v>
      </c>
      <c r="H14" s="9"/>
      <c r="I14" s="9"/>
      <c r="J14" s="9"/>
      <c r="K14" s="9"/>
      <c r="Q14" s="496"/>
      <c r="R14" s="146" t="s">
        <v>74</v>
      </c>
      <c r="S14" s="147">
        <f>D13</f>
        <v>1273.7803140882356</v>
      </c>
    </row>
    <row r="15" spans="2:19" s="1" customFormat="1" ht="13.5" thickBot="1">
      <c r="B15" s="8"/>
      <c r="C15" s="142" t="s">
        <v>5</v>
      </c>
      <c r="D15" s="143">
        <v>57.717047255000004</v>
      </c>
      <c r="E15" s="144"/>
      <c r="F15" s="145">
        <f>SUM(D15:E15)</f>
        <v>57.717047255000004</v>
      </c>
      <c r="G15" s="350">
        <f>(F15/F$16)</f>
        <v>1.1645693031308128E-2</v>
      </c>
      <c r="H15" s="9"/>
      <c r="I15" s="9"/>
      <c r="J15" s="9"/>
      <c r="K15" s="9"/>
      <c r="Q15" s="496"/>
      <c r="R15" s="146" t="s">
        <v>88</v>
      </c>
      <c r="S15" s="147">
        <f>SUM(D14:D15)</f>
        <v>170.6137995325</v>
      </c>
    </row>
    <row r="16" spans="2:19" s="1" customFormat="1" ht="13.5" thickTop="1">
      <c r="B16" s="8"/>
      <c r="C16" s="251" t="s">
        <v>72</v>
      </c>
      <c r="D16" s="252">
        <f>SUM(D12:D15)</f>
        <v>4731.5745714928062</v>
      </c>
      <c r="E16" s="253">
        <f>SUM(E12:E15)</f>
        <v>224.51066103343851</v>
      </c>
      <c r="F16" s="254">
        <f>SUM(F12:F15)</f>
        <v>4956.085232526244</v>
      </c>
      <c r="G16" s="255"/>
      <c r="H16" s="9"/>
      <c r="I16" s="9"/>
      <c r="J16" s="9"/>
      <c r="K16" s="9"/>
    </row>
    <row r="17" spans="2:19" s="1" customFormat="1">
      <c r="B17" s="8"/>
      <c r="C17" s="256" t="s">
        <v>109</v>
      </c>
      <c r="D17" s="326">
        <f>D16/F16</f>
        <v>0.95470000000000022</v>
      </c>
      <c r="E17" s="327">
        <f>E16/F16</f>
        <v>4.5299999999999931E-2</v>
      </c>
      <c r="F17" s="257"/>
      <c r="G17" s="258"/>
      <c r="H17" s="9"/>
      <c r="I17" s="9"/>
      <c r="J17" s="9"/>
      <c r="K17" s="9"/>
    </row>
    <row r="18" spans="2:19" s="1" customFormat="1">
      <c r="B18" s="8"/>
      <c r="C18" s="132"/>
      <c r="D18" s="132"/>
      <c r="E18" s="132"/>
      <c r="F18" s="132"/>
      <c r="G18" s="13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156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2"/>
      <c r="D22" s="132"/>
      <c r="E22" s="132"/>
      <c r="F22" s="132"/>
      <c r="G22" s="132"/>
      <c r="H22" s="9"/>
      <c r="I22" s="9"/>
      <c r="J22" s="9"/>
      <c r="K22" s="9"/>
    </row>
    <row r="23" spans="2:19" s="1" customFormat="1" ht="12.75" customHeight="1">
      <c r="B23" s="8"/>
      <c r="C23" s="503" t="s">
        <v>112</v>
      </c>
      <c r="D23" s="504"/>
      <c r="E23" s="497" t="s">
        <v>157</v>
      </c>
      <c r="F23" s="498"/>
      <c r="G23" s="151" t="s">
        <v>75</v>
      </c>
      <c r="H23" s="501" t="s">
        <v>158</v>
      </c>
      <c r="I23" s="502"/>
      <c r="J23" s="151" t="s">
        <v>75</v>
      </c>
      <c r="K23" s="9"/>
      <c r="Q23" s="146"/>
      <c r="R23" s="146">
        <v>2019</v>
      </c>
      <c r="S23" s="146">
        <v>2020</v>
      </c>
    </row>
    <row r="24" spans="2:19" s="1" customFormat="1" ht="12.75" customHeight="1">
      <c r="B24" s="8"/>
      <c r="C24" s="152"/>
      <c r="D24" s="153"/>
      <c r="E24" s="154">
        <v>2019</v>
      </c>
      <c r="F24" s="155">
        <v>2020</v>
      </c>
      <c r="G24" s="156"/>
      <c r="H24" s="239">
        <v>2018</v>
      </c>
      <c r="I24" s="155">
        <v>2019</v>
      </c>
      <c r="J24" s="156"/>
      <c r="K24" s="9"/>
      <c r="Q24" s="146" t="s">
        <v>77</v>
      </c>
      <c r="R24" s="147">
        <f>E29</f>
        <v>210.10682348651676</v>
      </c>
      <c r="S24" s="147">
        <f>F29</f>
        <v>214.83686853199359</v>
      </c>
    </row>
    <row r="25" spans="2:19" s="1" customFormat="1">
      <c r="B25" s="8"/>
      <c r="C25" s="492" t="s">
        <v>0</v>
      </c>
      <c r="D25" s="493"/>
      <c r="E25" s="193">
        <f>SUM(E26:E28)</f>
        <v>4631.3790697840341</v>
      </c>
      <c r="F25" s="194">
        <f>SUM(F26:F28)</f>
        <v>4741.2483639942502</v>
      </c>
      <c r="G25" s="195">
        <f>((F25/E25)-1)</f>
        <v>2.3722803198516829E-2</v>
      </c>
      <c r="H25" s="240">
        <f>SUM(H26:H28)</f>
        <v>52387.525310163568</v>
      </c>
      <c r="I25" s="194">
        <f>SUM(I26:I28)</f>
        <v>54447.393122169524</v>
      </c>
      <c r="J25" s="195">
        <f>((I25/H25)-1)</f>
        <v>3.9319815162300209E-2</v>
      </c>
      <c r="K25" s="9"/>
      <c r="Q25" s="146" t="s">
        <v>0</v>
      </c>
      <c r="R25" s="147">
        <f>E25</f>
        <v>4631.3790697840341</v>
      </c>
      <c r="S25" s="147">
        <f>F25</f>
        <v>4741.2483639942502</v>
      </c>
    </row>
    <row r="26" spans="2:19" s="1" customFormat="1">
      <c r="B26" s="8"/>
      <c r="C26" s="273" t="s">
        <v>63</v>
      </c>
      <c r="D26" s="282" t="s">
        <v>103</v>
      </c>
      <c r="E26" s="158">
        <v>4497.0772959624983</v>
      </c>
      <c r="F26" s="159">
        <v>4603.8220580625002</v>
      </c>
      <c r="G26" s="160">
        <f t="shared" ref="G26:G32" si="0">((F26/E26)-1)</f>
        <v>2.3736474842413369E-2</v>
      </c>
      <c r="H26" s="241">
        <v>50827.475253281678</v>
      </c>
      <c r="I26" s="159">
        <v>52889.162874905021</v>
      </c>
      <c r="J26" s="160">
        <f t="shared" ref="J26:J32" si="1">((I26/H26)-1)</f>
        <v>4.0562463733435861E-2</v>
      </c>
      <c r="K26" s="9"/>
    </row>
    <row r="27" spans="2:19" s="1" customFormat="1">
      <c r="B27" s="8"/>
      <c r="C27" s="274" t="s">
        <v>106</v>
      </c>
      <c r="D27" s="283" t="s">
        <v>78</v>
      </c>
      <c r="E27" s="276">
        <v>81.87002575775999</v>
      </c>
      <c r="F27" s="277">
        <v>83.954945315307896</v>
      </c>
      <c r="G27" s="286">
        <f t="shared" si="0"/>
        <v>2.5466213528707593E-2</v>
      </c>
      <c r="H27" s="278">
        <v>1014.8925152959999</v>
      </c>
      <c r="I27" s="277">
        <v>1021.313424859305</v>
      </c>
      <c r="J27" s="286">
        <f t="shared" si="1"/>
        <v>6.3266892469222569E-3</v>
      </c>
      <c r="K27" s="9"/>
    </row>
    <row r="28" spans="2:19" s="1" customFormat="1">
      <c r="B28" s="8"/>
      <c r="C28" s="275" t="s">
        <v>65</v>
      </c>
      <c r="D28" s="284" t="s">
        <v>78</v>
      </c>
      <c r="E28" s="158">
        <v>52.43174806377548</v>
      </c>
      <c r="F28" s="159">
        <v>53.471360616442773</v>
      </c>
      <c r="G28" s="285">
        <f t="shared" si="0"/>
        <v>1.9827920888747741E-2</v>
      </c>
      <c r="H28" s="241">
        <v>545.15754158589084</v>
      </c>
      <c r="I28" s="159">
        <v>536.91682240519901</v>
      </c>
      <c r="J28" s="285">
        <f t="shared" si="1"/>
        <v>-1.5116216051453968E-2</v>
      </c>
      <c r="K28" s="9"/>
    </row>
    <row r="29" spans="2:19" s="1" customFormat="1">
      <c r="B29" s="8"/>
      <c r="C29" s="492" t="s">
        <v>77</v>
      </c>
      <c r="D29" s="493"/>
      <c r="E29" s="193">
        <f>SUM(E30:E31)</f>
        <v>210.10682348651676</v>
      </c>
      <c r="F29" s="194">
        <f>SUM(F30:F31)</f>
        <v>214.83686853199359</v>
      </c>
      <c r="G29" s="195">
        <f t="shared" si="0"/>
        <v>2.2512572257227914E-2</v>
      </c>
      <c r="H29" s="240">
        <f>SUM(H30:H31)</f>
        <v>2505.6318492129258</v>
      </c>
      <c r="I29" s="194">
        <f>SUM(I30:I31)</f>
        <v>2519.1695050105645</v>
      </c>
      <c r="J29" s="195">
        <f t="shared" si="1"/>
        <v>5.402891012058042E-3</v>
      </c>
      <c r="K29" s="9"/>
      <c r="Q29" s="146"/>
      <c r="R29" s="146"/>
      <c r="S29" s="146"/>
    </row>
    <row r="30" spans="2:19" s="1" customFormat="1">
      <c r="B30" s="8"/>
      <c r="C30" s="279" t="s">
        <v>69</v>
      </c>
      <c r="D30" s="153"/>
      <c r="E30" s="158">
        <v>43.956569999999999</v>
      </c>
      <c r="F30" s="159">
        <v>43.797568114997866</v>
      </c>
      <c r="G30" s="347">
        <f t="shared" si="0"/>
        <v>-3.617249594364047E-3</v>
      </c>
      <c r="H30" s="241">
        <v>520.02681807177134</v>
      </c>
      <c r="I30" s="159">
        <v>521.24207801083219</v>
      </c>
      <c r="J30" s="347">
        <f t="shared" si="1"/>
        <v>2.3369178219825315E-3</v>
      </c>
      <c r="K30" s="9"/>
    </row>
    <row r="31" spans="2:19" s="1" customFormat="1" ht="13.5" thickBot="1">
      <c r="B31" s="8"/>
      <c r="C31" s="280" t="s">
        <v>65</v>
      </c>
      <c r="D31" s="281"/>
      <c r="E31" s="162">
        <v>166.15025348651676</v>
      </c>
      <c r="F31" s="163">
        <v>171.03930041699573</v>
      </c>
      <c r="G31" s="164">
        <f t="shared" si="0"/>
        <v>2.9425455741936224E-2</v>
      </c>
      <c r="H31" s="242">
        <v>1985.6050311411545</v>
      </c>
      <c r="I31" s="163">
        <v>1997.9274269997325</v>
      </c>
      <c r="J31" s="310">
        <f t="shared" si="1"/>
        <v>6.2058645427061077E-3</v>
      </c>
      <c r="K31" s="9"/>
    </row>
    <row r="32" spans="2:19" s="1" customFormat="1" ht="14.25" thickTop="1" thickBot="1">
      <c r="B32" s="8"/>
      <c r="C32" s="487" t="s">
        <v>108</v>
      </c>
      <c r="D32" s="488"/>
      <c r="E32" s="196">
        <f>SUM(E25,E29)</f>
        <v>4841.4858932705511</v>
      </c>
      <c r="F32" s="197">
        <f>SUM(F25,F29)</f>
        <v>4956.085232526244</v>
      </c>
      <c r="G32" s="198">
        <f t="shared" si="0"/>
        <v>2.367028259133841E-2</v>
      </c>
      <c r="H32" s="243">
        <f>SUM(H25,H29)</f>
        <v>54893.157159376497</v>
      </c>
      <c r="I32" s="197">
        <f>SUM(I25,I29)</f>
        <v>56966.562627180087</v>
      </c>
      <c r="J32" s="198">
        <f t="shared" si="1"/>
        <v>3.7771656342951321E-2</v>
      </c>
      <c r="K32" s="9"/>
    </row>
    <row r="33" spans="2:19" s="1" customFormat="1">
      <c r="B33" s="8"/>
      <c r="C33" s="321" t="s">
        <v>104</v>
      </c>
      <c r="D33" s="165"/>
      <c r="E33" s="165"/>
      <c r="F33" s="166"/>
      <c r="G33" s="131"/>
      <c r="H33" s="165"/>
      <c r="I33" s="165"/>
      <c r="J33" s="131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159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9"/>
      <c r="D38" s="150"/>
      <c r="E38" s="497" t="s">
        <v>157</v>
      </c>
      <c r="F38" s="498"/>
      <c r="G38" s="499" t="s">
        <v>75</v>
      </c>
      <c r="H38" s="501" t="s">
        <v>158</v>
      </c>
      <c r="I38" s="502"/>
      <c r="J38" s="499" t="s">
        <v>75</v>
      </c>
      <c r="K38" s="9"/>
      <c r="Q38" s="146"/>
      <c r="R38" s="146">
        <v>2019</v>
      </c>
      <c r="S38" s="146">
        <v>2020</v>
      </c>
    </row>
    <row r="39" spans="2:19" s="1" customFormat="1" ht="12.75" customHeight="1">
      <c r="B39" s="8"/>
      <c r="C39" s="152" t="s">
        <v>76</v>
      </c>
      <c r="D39" s="153"/>
      <c r="E39" s="154">
        <v>2019</v>
      </c>
      <c r="F39" s="155">
        <v>2020</v>
      </c>
      <c r="G39" s="500"/>
      <c r="H39" s="244">
        <v>2018</v>
      </c>
      <c r="I39" s="94">
        <v>2019</v>
      </c>
      <c r="J39" s="500"/>
      <c r="K39" s="9"/>
      <c r="Q39" s="146" t="s">
        <v>67</v>
      </c>
      <c r="R39" s="147">
        <f>SUM(E41,E46)</f>
        <v>2901.8094056088348</v>
      </c>
      <c r="S39" s="147">
        <f>SUM(F41,F46)</f>
        <v>3356.7787627924363</v>
      </c>
    </row>
    <row r="40" spans="2:19" s="1" customFormat="1">
      <c r="B40" s="8"/>
      <c r="C40" s="492" t="s">
        <v>69</v>
      </c>
      <c r="D40" s="493"/>
      <c r="E40" s="193">
        <f>SUM(E41:E44)</f>
        <v>4622.9038917202588</v>
      </c>
      <c r="F40" s="194">
        <f>SUM(F41:F44)</f>
        <v>4731.5745714928062</v>
      </c>
      <c r="G40" s="195">
        <f>((F40/E40)-1)</f>
        <v>2.3507016870322417E-2</v>
      </c>
      <c r="H40" s="240">
        <f>SUM(H41:H44)</f>
        <v>52362.39458664944</v>
      </c>
      <c r="I40" s="194">
        <f>SUM(I41:I44)</f>
        <v>54431.718377775149</v>
      </c>
      <c r="J40" s="195">
        <f>((I40/H40)-1)</f>
        <v>3.951927346831674E-2</v>
      </c>
      <c r="K40" s="9"/>
      <c r="Q40" s="146" t="s">
        <v>66</v>
      </c>
      <c r="R40" s="147">
        <f>SUM(E42,E47)</f>
        <v>1773.1765155417165</v>
      </c>
      <c r="S40" s="147">
        <f>SUM(F42,F47)</f>
        <v>1428.6926702013081</v>
      </c>
    </row>
    <row r="41" spans="2:19" s="1" customFormat="1">
      <c r="B41" s="8"/>
      <c r="C41" s="157" t="s">
        <v>67</v>
      </c>
      <c r="D41" s="132"/>
      <c r="E41" s="158">
        <v>2831.5452373502599</v>
      </c>
      <c r="F41" s="159">
        <f>D12</f>
        <v>3287.1804578720703</v>
      </c>
      <c r="G41" s="285">
        <f t="shared" ref="G41:G48" si="2">((F41/E41)-1)</f>
        <v>0.16091398241201715</v>
      </c>
      <c r="H41" s="241">
        <v>29989.333366882773</v>
      </c>
      <c r="I41" s="159">
        <v>30780.763755921798</v>
      </c>
      <c r="J41" s="285">
        <f t="shared" ref="J41:J48" si="3">((I41/H41)-1)</f>
        <v>2.6390396190433485E-2</v>
      </c>
      <c r="K41" s="9"/>
      <c r="Q41" s="146" t="s">
        <v>68</v>
      </c>
      <c r="R41" s="147">
        <f>E43</f>
        <v>110.21798868249998</v>
      </c>
      <c r="S41" s="147">
        <f>F43</f>
        <v>112.8967522775</v>
      </c>
    </row>
    <row r="42" spans="2:19" s="1" customFormat="1">
      <c r="B42" s="8"/>
      <c r="C42" s="157" t="s">
        <v>66</v>
      </c>
      <c r="D42" s="132"/>
      <c r="E42" s="158">
        <v>1624.8586822499992</v>
      </c>
      <c r="F42" s="159">
        <f>D13</f>
        <v>1273.7803140882356</v>
      </c>
      <c r="G42" s="285">
        <f t="shared" si="2"/>
        <v>-0.21606701677933804</v>
      </c>
      <c r="H42" s="241">
        <v>20125.222511949996</v>
      </c>
      <c r="I42" s="159">
        <v>21241.798305063345</v>
      </c>
      <c r="J42" s="285">
        <f t="shared" si="3"/>
        <v>5.5481413557059822E-2</v>
      </c>
      <c r="K42" s="9"/>
      <c r="Q42" s="146" t="s">
        <v>5</v>
      </c>
      <c r="R42" s="147">
        <f>E44</f>
        <v>56.281983437499996</v>
      </c>
      <c r="S42" s="147">
        <f>F44</f>
        <v>57.717047255000004</v>
      </c>
    </row>
    <row r="43" spans="2:19" s="1" customFormat="1">
      <c r="B43" s="8"/>
      <c r="C43" s="157" t="s">
        <v>68</v>
      </c>
      <c r="D43" s="132"/>
      <c r="E43" s="158">
        <v>110.21798868249998</v>
      </c>
      <c r="F43" s="159">
        <f>D14</f>
        <v>112.8967522775</v>
      </c>
      <c r="G43" s="285">
        <f t="shared" si="2"/>
        <v>2.4304232249389157E-2</v>
      </c>
      <c r="H43" s="241">
        <v>1502.4381678166669</v>
      </c>
      <c r="I43" s="159">
        <v>1647.3883703124998</v>
      </c>
      <c r="J43" s="285">
        <f t="shared" si="3"/>
        <v>9.6476650820495058E-2</v>
      </c>
      <c r="K43" s="9"/>
    </row>
    <row r="44" spans="2:19" s="1" customFormat="1">
      <c r="B44" s="8"/>
      <c r="C44" s="157" t="s">
        <v>5</v>
      </c>
      <c r="D44" s="132"/>
      <c r="E44" s="158">
        <v>56.281983437499996</v>
      </c>
      <c r="F44" s="159">
        <f>D15</f>
        <v>57.717047255000004</v>
      </c>
      <c r="G44" s="93">
        <f t="shared" si="2"/>
        <v>2.5497747766718648E-2</v>
      </c>
      <c r="H44" s="241">
        <v>745.40054000000021</v>
      </c>
      <c r="I44" s="159">
        <v>761.76794647749989</v>
      </c>
      <c r="J44" s="160">
        <f t="shared" si="3"/>
        <v>2.1957867749196502E-2</v>
      </c>
      <c r="K44" s="9"/>
      <c r="Q44" s="146"/>
      <c r="R44" s="146"/>
      <c r="S44" s="146"/>
    </row>
    <row r="45" spans="2:19" s="1" customFormat="1">
      <c r="B45" s="8"/>
      <c r="C45" s="492" t="s">
        <v>65</v>
      </c>
      <c r="D45" s="493"/>
      <c r="E45" s="193">
        <f>SUM(E46:E47)</f>
        <v>218.58200155029226</v>
      </c>
      <c r="F45" s="194">
        <f>SUM(F46:F47)</f>
        <v>224.51066103343851</v>
      </c>
      <c r="G45" s="195">
        <f t="shared" si="2"/>
        <v>2.7123273833605799E-2</v>
      </c>
      <c r="H45" s="240">
        <f>SUM(H46:H47)</f>
        <v>2530.7625727270447</v>
      </c>
      <c r="I45" s="194">
        <f>SUM(I46:I47)</f>
        <v>2534.8442494049309</v>
      </c>
      <c r="J45" s="195">
        <f t="shared" si="3"/>
        <v>1.6128248148887803E-3</v>
      </c>
      <c r="K45" s="9"/>
    </row>
    <row r="46" spans="2:19" s="1" customFormat="1">
      <c r="B46" s="8"/>
      <c r="C46" s="157" t="s">
        <v>67</v>
      </c>
      <c r="D46" s="132"/>
      <c r="E46" s="158">
        <v>70.264168258574998</v>
      </c>
      <c r="F46" s="159">
        <f>E12</f>
        <v>69.598304920365948</v>
      </c>
      <c r="G46" s="160">
        <f t="shared" si="2"/>
        <v>-9.4765704157864228E-3</v>
      </c>
      <c r="H46" s="241">
        <v>748.12424245540785</v>
      </c>
      <c r="I46" s="159">
        <v>710.90561243789114</v>
      </c>
      <c r="J46" s="160">
        <f t="shared" si="3"/>
        <v>-4.974926343164876E-2</v>
      </c>
      <c r="K46" s="9"/>
    </row>
    <row r="47" spans="2:19" s="1" customFormat="1" ht="13.5" thickBot="1">
      <c r="B47" s="8"/>
      <c r="C47" s="161" t="s">
        <v>66</v>
      </c>
      <c r="D47" s="132"/>
      <c r="E47" s="162">
        <v>148.31783329171725</v>
      </c>
      <c r="F47" s="163">
        <f>E13</f>
        <v>154.91235611307258</v>
      </c>
      <c r="G47" s="310">
        <f t="shared" si="2"/>
        <v>4.4462103275099585E-2</v>
      </c>
      <c r="H47" s="242">
        <v>1782.6383302716367</v>
      </c>
      <c r="I47" s="163">
        <v>1823.9386369670399</v>
      </c>
      <c r="J47" s="164">
        <f t="shared" si="3"/>
        <v>2.3168079578491874E-2</v>
      </c>
      <c r="K47" s="9"/>
    </row>
    <row r="48" spans="2:19" s="1" customFormat="1" ht="14.25" thickTop="1" thickBot="1">
      <c r="B48" s="8"/>
      <c r="C48" s="487" t="s">
        <v>108</v>
      </c>
      <c r="D48" s="488"/>
      <c r="E48" s="196">
        <f>SUM(E40,E45)</f>
        <v>4841.4858932705511</v>
      </c>
      <c r="F48" s="197">
        <f>SUM(F40,F45)</f>
        <v>4956.0852325262449</v>
      </c>
      <c r="G48" s="198">
        <f t="shared" si="2"/>
        <v>2.3670282591338632E-2</v>
      </c>
      <c r="H48" s="243">
        <f>SUM(H40,H45)</f>
        <v>54893.157159376482</v>
      </c>
      <c r="I48" s="197">
        <f>SUM(I40,I45)</f>
        <v>56966.562627180079</v>
      </c>
      <c r="J48" s="198">
        <f t="shared" si="3"/>
        <v>3.7771656342951543E-2</v>
      </c>
      <c r="K48" s="9"/>
    </row>
    <row r="49" spans="2:23" s="1" customFormat="1">
      <c r="B49" s="8"/>
      <c r="C49" s="271"/>
      <c r="D49" s="90"/>
      <c r="E49" s="91"/>
      <c r="F49" s="91"/>
      <c r="G49" s="95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5"/>
      <c r="H50" s="9"/>
      <c r="I50" s="9"/>
      <c r="J50" s="9"/>
      <c r="K50" s="9"/>
    </row>
    <row r="51" spans="2:23" s="1" customFormat="1">
      <c r="B51" s="8"/>
      <c r="C51" s="10" t="s">
        <v>114</v>
      </c>
      <c r="H51" s="9"/>
      <c r="I51" s="9"/>
      <c r="J51" s="9"/>
      <c r="K51" s="9"/>
    </row>
    <row r="52" spans="2:23" s="1" customFormat="1">
      <c r="B52" s="8"/>
      <c r="C52" s="10" t="s">
        <v>105</v>
      </c>
      <c r="H52" s="9"/>
      <c r="I52" s="9"/>
      <c r="J52" s="9"/>
      <c r="K52" s="9"/>
      <c r="M52" s="266"/>
    </row>
    <row r="53" spans="2:23" s="1" customFormat="1" ht="13.5" thickBot="1">
      <c r="B53" s="8"/>
      <c r="C53" s="10"/>
      <c r="H53" s="9"/>
      <c r="I53" s="9"/>
      <c r="J53" s="9"/>
      <c r="K53" s="9"/>
      <c r="L53" s="266"/>
      <c r="M53" s="266"/>
    </row>
    <row r="54" spans="2:23" s="1" customFormat="1" ht="12.75" customHeight="1">
      <c r="B54" s="8"/>
      <c r="C54" s="149"/>
      <c r="D54" s="150"/>
      <c r="E54" s="497" t="s">
        <v>157</v>
      </c>
      <c r="F54" s="498"/>
      <c r="G54" s="499" t="s">
        <v>75</v>
      </c>
      <c r="H54" s="501" t="s">
        <v>158</v>
      </c>
      <c r="I54" s="502"/>
      <c r="J54" s="499" t="s">
        <v>75</v>
      </c>
      <c r="K54" s="9"/>
      <c r="L54" s="266"/>
      <c r="M54" s="266"/>
    </row>
    <row r="55" spans="2:23" s="1" customFormat="1" ht="12.75" customHeight="1">
      <c r="B55" s="8"/>
      <c r="C55" s="152" t="s">
        <v>76</v>
      </c>
      <c r="D55" s="153"/>
      <c r="E55" s="154">
        <v>2019</v>
      </c>
      <c r="F55" s="155">
        <v>2020</v>
      </c>
      <c r="G55" s="500"/>
      <c r="H55" s="244">
        <v>2018</v>
      </c>
      <c r="I55" s="94">
        <v>2019</v>
      </c>
      <c r="J55" s="500"/>
      <c r="K55" s="9"/>
      <c r="L55" s="266"/>
      <c r="M55" s="266"/>
    </row>
    <row r="56" spans="2:23" s="1" customFormat="1">
      <c r="B56" s="8"/>
      <c r="C56" s="492" t="s">
        <v>69</v>
      </c>
      <c r="D56" s="493"/>
      <c r="E56" s="193">
        <f>SUM(E57:E60)</f>
        <v>4622.9038917202588</v>
      </c>
      <c r="F56" s="194">
        <f>SUM(F57:F60)</f>
        <v>4731.5745714928062</v>
      </c>
      <c r="G56" s="195">
        <f>((F56/E56)-1)</f>
        <v>2.3507016870322417E-2</v>
      </c>
      <c r="H56" s="240">
        <f>SUM(H57:H60)</f>
        <v>52362.394586649432</v>
      </c>
      <c r="I56" s="194">
        <f>SUM(I57:I60)</f>
        <v>54431.718377775142</v>
      </c>
      <c r="J56" s="195">
        <f>((I56/H56)-1)</f>
        <v>3.951927346831674E-2</v>
      </c>
      <c r="K56" s="9"/>
    </row>
    <row r="57" spans="2:23" s="1" customFormat="1" ht="25.5">
      <c r="B57" s="8"/>
      <c r="C57" s="490" t="s">
        <v>79</v>
      </c>
      <c r="D57" s="287" t="s">
        <v>80</v>
      </c>
      <c r="E57" s="335">
        <f>SUM(E43:E44)+18.6554224225</f>
        <v>185.15539454249998</v>
      </c>
      <c r="F57" s="336">
        <f>SUM(F43:F44)+16.990978003861</f>
        <v>187.60477753636098</v>
      </c>
      <c r="G57" s="171">
        <f t="shared" ref="G57:G65" si="4">((F57/E57)-1)</f>
        <v>1.3228796276301802E-2</v>
      </c>
      <c r="H57" s="337">
        <f>SUM(H43:H44)+211.01671495</f>
        <v>2458.8554227666668</v>
      </c>
      <c r="I57" s="336">
        <f>SUM(I43:I44)+301.729890991766</f>
        <v>2710.8862077817653</v>
      </c>
      <c r="J57" s="171">
        <f t="shared" ref="J57:J65" si="5">((I57/H57)-1)</f>
        <v>0.1024992289833444</v>
      </c>
      <c r="K57" s="9"/>
      <c r="L57" s="266"/>
      <c r="Q57" s="146"/>
      <c r="R57" s="146"/>
      <c r="T57" s="146">
        <v>2019</v>
      </c>
      <c r="U57" s="146">
        <v>2020</v>
      </c>
      <c r="V57" s="146"/>
      <c r="W57" s="146"/>
    </row>
    <row r="58" spans="2:23" s="1" customFormat="1" ht="13.5">
      <c r="B58" s="8"/>
      <c r="C58" s="491"/>
      <c r="D58" s="288" t="s">
        <v>110</v>
      </c>
      <c r="E58" s="276">
        <v>148.23238156750003</v>
      </c>
      <c r="F58" s="341">
        <v>231.14771608749987</v>
      </c>
      <c r="G58" s="286">
        <f t="shared" si="4"/>
        <v>0.55936046930638428</v>
      </c>
      <c r="H58" s="278">
        <v>1290.6945305400002</v>
      </c>
      <c r="I58" s="277">
        <v>1845.1128347399999</v>
      </c>
      <c r="J58" s="286">
        <f t="shared" si="5"/>
        <v>0.42955036306541294</v>
      </c>
      <c r="K58" s="9"/>
      <c r="L58" s="266"/>
      <c r="M58" s="266"/>
      <c r="Q58" s="496" t="s">
        <v>81</v>
      </c>
      <c r="R58" s="146" t="s">
        <v>67</v>
      </c>
      <c r="T58" s="147">
        <f>SUM(E60,E64)</f>
        <v>2753.5770240413349</v>
      </c>
      <c r="U58" s="147">
        <f>SUM(F60,F64)</f>
        <v>3125.6310467049366</v>
      </c>
      <c r="V58" s="148">
        <f t="shared" ref="V58:W61" si="6">T58/T$64</f>
        <v>0.56874626607271195</v>
      </c>
      <c r="W58" s="148">
        <f t="shared" si="6"/>
        <v>0.63066531345985777</v>
      </c>
    </row>
    <row r="59" spans="2:23" s="1" customFormat="1">
      <c r="B59" s="8"/>
      <c r="C59" s="489" t="s">
        <v>81</v>
      </c>
      <c r="D59" s="289" t="s">
        <v>82</v>
      </c>
      <c r="E59" s="158">
        <f>SUM(E42:E44)-E57</f>
        <v>1606.2032598274991</v>
      </c>
      <c r="F59" s="159">
        <f>SUM(F42:F44)-F57</f>
        <v>1256.7893360843746</v>
      </c>
      <c r="G59" s="285">
        <f t="shared" si="4"/>
        <v>-0.21754029049888146</v>
      </c>
      <c r="H59" s="241">
        <f>SUM(H42:H44)-H57</f>
        <v>19914.205796999995</v>
      </c>
      <c r="I59" s="159">
        <f>SUM(I42:I44)-I57</f>
        <v>20940.068414071578</v>
      </c>
      <c r="J59" s="285">
        <f t="shared" si="5"/>
        <v>5.1514111460378986E-2</v>
      </c>
      <c r="K59" s="9"/>
      <c r="Q59" s="496"/>
      <c r="R59" s="146" t="s">
        <v>66</v>
      </c>
      <c r="T59" s="147">
        <f>SUM(E59,E63)</f>
        <v>1734.7039751192165</v>
      </c>
      <c r="U59" s="147">
        <f>SUM(F59,F63)</f>
        <v>1390.6105721156891</v>
      </c>
      <c r="V59" s="148">
        <f t="shared" si="6"/>
        <v>0.35829991315896986</v>
      </c>
      <c r="W59" s="148">
        <f t="shared" si="6"/>
        <v>0.28058649253835755</v>
      </c>
    </row>
    <row r="60" spans="2:23" s="1" customFormat="1">
      <c r="B60" s="8"/>
      <c r="C60" s="489"/>
      <c r="D60" s="290" t="s">
        <v>41</v>
      </c>
      <c r="E60" s="158">
        <f>E41-E58</f>
        <v>2683.3128557827599</v>
      </c>
      <c r="F60" s="159">
        <f>F41-F58</f>
        <v>3056.0327417845706</v>
      </c>
      <c r="G60" s="160">
        <f t="shared" si="4"/>
        <v>0.13890288089164438</v>
      </c>
      <c r="H60" s="241">
        <f>H41-H58</f>
        <v>28698.638836342772</v>
      </c>
      <c r="I60" s="159">
        <f>I41-I58</f>
        <v>28935.650921181797</v>
      </c>
      <c r="J60" s="285">
        <f t="shared" si="5"/>
        <v>8.2586524814161066E-3</v>
      </c>
      <c r="K60" s="9"/>
      <c r="Q60" s="496" t="s">
        <v>79</v>
      </c>
      <c r="R60" s="146" t="s">
        <v>67</v>
      </c>
      <c r="T60" s="147">
        <f>E58</f>
        <v>148.23238156750003</v>
      </c>
      <c r="U60" s="147">
        <f>F58</f>
        <v>231.14771608749987</v>
      </c>
      <c r="V60" s="148">
        <f t="shared" si="6"/>
        <v>3.0617125575752763E-2</v>
      </c>
      <c r="W60" s="148">
        <f t="shared" si="6"/>
        <v>4.6639172904150782E-2</v>
      </c>
    </row>
    <row r="61" spans="2:23" s="1" customFormat="1">
      <c r="B61" s="8"/>
      <c r="C61" s="492" t="s">
        <v>65</v>
      </c>
      <c r="D61" s="493"/>
      <c r="E61" s="193">
        <f>SUM(E62:E64)</f>
        <v>218.58200155029226</v>
      </c>
      <c r="F61" s="194">
        <f>SUM(F62:F64)</f>
        <v>224.51066103343851</v>
      </c>
      <c r="G61" s="195">
        <f t="shared" si="4"/>
        <v>2.7123273833605799E-2</v>
      </c>
      <c r="H61" s="240">
        <f>SUM(H62:H64)</f>
        <v>2530.7625727270447</v>
      </c>
      <c r="I61" s="194">
        <f>SUM(I62:I64)</f>
        <v>2534.8442494049309</v>
      </c>
      <c r="J61" s="195">
        <f t="shared" si="5"/>
        <v>1.6128248148887803E-3</v>
      </c>
      <c r="K61" s="9"/>
      <c r="Q61" s="496"/>
      <c r="R61" s="146" t="s">
        <v>90</v>
      </c>
      <c r="T61" s="147">
        <f>E57+E62</f>
        <v>204.97251254249997</v>
      </c>
      <c r="U61" s="147">
        <f>F57+F62</f>
        <v>208.69589761811895</v>
      </c>
      <c r="V61" s="148">
        <f t="shared" si="6"/>
        <v>4.2336695192565277E-2</v>
      </c>
      <c r="W61" s="148">
        <f t="shared" si="6"/>
        <v>4.2109021097633793E-2</v>
      </c>
    </row>
    <row r="62" spans="2:23" s="1" customFormat="1">
      <c r="B62" s="8"/>
      <c r="C62" s="322" t="s">
        <v>79</v>
      </c>
      <c r="D62" s="323" t="s">
        <v>115</v>
      </c>
      <c r="E62" s="338">
        <v>19.817118000000001</v>
      </c>
      <c r="F62" s="339">
        <v>21.091120081757971</v>
      </c>
      <c r="G62" s="324">
        <f t="shared" si="4"/>
        <v>6.4287959619454771E-2</v>
      </c>
      <c r="H62" s="340">
        <v>195.18650699999998</v>
      </c>
      <c r="I62" s="339">
        <v>231.88863184314511</v>
      </c>
      <c r="J62" s="324">
        <f t="shared" si="5"/>
        <v>0.1880361783570681</v>
      </c>
      <c r="K62" s="9"/>
      <c r="Q62" s="146"/>
      <c r="R62" s="146"/>
      <c r="T62" s="146"/>
      <c r="U62" s="146"/>
      <c r="V62" s="146"/>
      <c r="W62" s="146"/>
    </row>
    <row r="63" spans="2:23" s="1" customFormat="1">
      <c r="B63" s="8"/>
      <c r="C63" s="494" t="s">
        <v>81</v>
      </c>
      <c r="D63" s="289" t="s">
        <v>82</v>
      </c>
      <c r="E63" s="158">
        <f>E47-E62</f>
        <v>128.50071529171726</v>
      </c>
      <c r="F63" s="159">
        <f>F47-F62</f>
        <v>133.82123603131461</v>
      </c>
      <c r="G63" s="285">
        <f t="shared" ref="G63" si="7">((F63/E63)-1)</f>
        <v>4.140460018077663E-2</v>
      </c>
      <c r="H63" s="241">
        <f>H47-H62</f>
        <v>1587.4518232716368</v>
      </c>
      <c r="I63" s="159">
        <f>I47-I62</f>
        <v>1592.0500051238948</v>
      </c>
      <c r="J63" s="347">
        <f t="shared" ref="J63" si="8">((I63/H63)-1)</f>
        <v>2.8965804094649439E-3</v>
      </c>
      <c r="K63" s="9"/>
      <c r="Q63" s="146"/>
      <c r="R63" s="146"/>
      <c r="T63" s="146"/>
      <c r="U63" s="146"/>
      <c r="V63" s="146"/>
      <c r="W63" s="146"/>
    </row>
    <row r="64" spans="2:23" s="1" customFormat="1" ht="13.5" thickBot="1">
      <c r="B64" s="8"/>
      <c r="C64" s="495"/>
      <c r="D64" s="291" t="s">
        <v>41</v>
      </c>
      <c r="E64" s="162">
        <f>E46</f>
        <v>70.264168258574998</v>
      </c>
      <c r="F64" s="163">
        <f>F46</f>
        <v>69.598304920365948</v>
      </c>
      <c r="G64" s="164">
        <f t="shared" si="4"/>
        <v>-9.4765704157864228E-3</v>
      </c>
      <c r="H64" s="242">
        <f>H46</f>
        <v>748.12424245540785</v>
      </c>
      <c r="I64" s="163">
        <f>I46</f>
        <v>710.90561243789114</v>
      </c>
      <c r="J64" s="164">
        <f t="shared" si="5"/>
        <v>-4.974926343164876E-2</v>
      </c>
      <c r="K64" s="9"/>
      <c r="Q64" s="146"/>
      <c r="R64" s="146"/>
      <c r="T64" s="147">
        <f>SUM(T58:T61)</f>
        <v>4841.485893270552</v>
      </c>
      <c r="U64" s="147">
        <f>SUM(U58:U61)</f>
        <v>4956.0852325262449</v>
      </c>
      <c r="V64" s="146"/>
      <c r="W64" s="146"/>
    </row>
    <row r="65" spans="2:22" s="1" customFormat="1" ht="14.25" thickTop="1" thickBot="1">
      <c r="B65" s="8"/>
      <c r="C65" s="487" t="s">
        <v>108</v>
      </c>
      <c r="D65" s="488"/>
      <c r="E65" s="196">
        <f>SUM(E56,E61)</f>
        <v>4841.4858932705511</v>
      </c>
      <c r="F65" s="197">
        <f>SUM(F56,F61)</f>
        <v>4956.0852325262449</v>
      </c>
      <c r="G65" s="198">
        <f t="shared" si="4"/>
        <v>2.3670282591338632E-2</v>
      </c>
      <c r="H65" s="243">
        <f>SUM(H56,H61)</f>
        <v>54893.157159376475</v>
      </c>
      <c r="I65" s="197">
        <f>SUM(I56,I61)</f>
        <v>56966.562627180072</v>
      </c>
      <c r="J65" s="198">
        <f t="shared" si="5"/>
        <v>3.7771656342951543E-2</v>
      </c>
      <c r="K65" s="9"/>
      <c r="Q65" s="146"/>
      <c r="R65" s="146"/>
      <c r="S65" s="146"/>
      <c r="T65" s="146"/>
      <c r="U65" s="146"/>
      <c r="V65" s="146"/>
    </row>
    <row r="66" spans="2:22" s="1" customFormat="1">
      <c r="B66" s="8"/>
      <c r="C66" s="271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5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40" zoomScaleNormal="100" zoomScaleSheetLayoutView="100" workbookViewId="0">
      <selection activeCell="J63" sqref="J63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84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87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86</v>
      </c>
      <c r="N9" s="70">
        <f>E28</f>
        <v>3356.7787627924363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1279.775399164577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85</v>
      </c>
      <c r="N11" s="70">
        <f t="shared" si="0"/>
        <v>110.4603863137263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38.082098085618952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112.8967522775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57.717047255000004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92">
        <f t="shared" si="0"/>
        <v>0.37478663738616141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4956.085232526244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8"/>
      <c r="G23" s="270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160</v>
      </c>
      <c r="D24" s="9"/>
      <c r="E24" s="13"/>
      <c r="F24" s="13"/>
      <c r="G24" s="13"/>
      <c r="H24" s="26"/>
      <c r="I24" s="26"/>
      <c r="J24" s="311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31"/>
      <c r="D25" s="131"/>
      <c r="E25" s="167"/>
      <c r="F25" s="167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12" t="s">
        <v>62</v>
      </c>
      <c r="D26" s="511" t="s">
        <v>157</v>
      </c>
      <c r="E26" s="511"/>
      <c r="F26" s="507" t="s">
        <v>75</v>
      </c>
      <c r="G26" s="505" t="s">
        <v>158</v>
      </c>
      <c r="H26" s="506"/>
      <c r="I26" s="507" t="s">
        <v>75</v>
      </c>
      <c r="J26" s="20"/>
      <c r="K26" s="54"/>
      <c r="L26" s="54"/>
      <c r="M26" s="55"/>
      <c r="N26" s="70">
        <v>2019</v>
      </c>
      <c r="O26" s="70">
        <v>2020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13"/>
      <c r="D27" s="96">
        <v>2019</v>
      </c>
      <c r="E27" s="97">
        <v>2020</v>
      </c>
      <c r="F27" s="508"/>
      <c r="G27" s="245">
        <v>2018</v>
      </c>
      <c r="H27" s="97">
        <v>2019</v>
      </c>
      <c r="I27" s="508"/>
      <c r="J27" s="20"/>
      <c r="K27" s="54"/>
      <c r="L27" s="54"/>
      <c r="M27" s="55" t="s">
        <v>86</v>
      </c>
      <c r="N27" s="70">
        <f t="shared" ref="N27:O29" si="1">D28</f>
        <v>2901.8094056088348</v>
      </c>
      <c r="O27" s="70">
        <f t="shared" si="1"/>
        <v>3356.7787627924363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8" t="s">
        <v>86</v>
      </c>
      <c r="D28" s="169">
        <f>'Resumenn(G)'!E41+'Resumenn(G)'!E46</f>
        <v>2901.8094056088348</v>
      </c>
      <c r="E28" s="170">
        <f>'Resumenn(G)'!F41+'Resumenn(G)'!F46</f>
        <v>3356.7787627924363</v>
      </c>
      <c r="F28" s="171">
        <f>+E28/D28-1</f>
        <v>0.15678815993366157</v>
      </c>
      <c r="G28" s="259">
        <f>'Resumenn(G)'!H41+'Resumenn(G)'!H46</f>
        <v>30737.45760933818</v>
      </c>
      <c r="H28" s="170">
        <f>'Resumenn(G)'!I41+'Resumenn(G)'!I46</f>
        <v>31491.66936835969</v>
      </c>
      <c r="I28" s="171">
        <f>+H28/G28-1</f>
        <v>2.4537219981146885E-2</v>
      </c>
      <c r="J28" s="311"/>
      <c r="K28" s="54"/>
      <c r="L28" s="54"/>
      <c r="M28" s="55" t="s">
        <v>2</v>
      </c>
      <c r="N28" s="70">
        <f t="shared" si="1"/>
        <v>1622.6160949249993</v>
      </c>
      <c r="O28" s="70">
        <f t="shared" si="1"/>
        <v>1279.775399164577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2" t="s">
        <v>2</v>
      </c>
      <c r="D29" s="173">
        <v>1622.6160949249993</v>
      </c>
      <c r="E29" s="174">
        <v>1279.775399164577</v>
      </c>
      <c r="F29" s="175">
        <f t="shared" ref="F29:F35" si="2">+E29/D29-1</f>
        <v>-0.21128885435853451</v>
      </c>
      <c r="G29" s="260">
        <v>19962.287394999999</v>
      </c>
      <c r="H29" s="174">
        <v>21052.31264371569</v>
      </c>
      <c r="I29" s="175">
        <f t="shared" ref="I29:I35" si="3">+H29/G29-1</f>
        <v>5.4604225815760632E-2</v>
      </c>
      <c r="J29" s="268"/>
      <c r="K29" s="269"/>
      <c r="L29" s="54"/>
      <c r="M29" s="55" t="s">
        <v>85</v>
      </c>
      <c r="N29" s="70">
        <f t="shared" si="1"/>
        <v>111.66775349421732</v>
      </c>
      <c r="O29" s="70">
        <f t="shared" si="1"/>
        <v>110.4603863137263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2" t="s">
        <v>3</v>
      </c>
      <c r="D30" s="173">
        <f>'Resumenn(G)'!E32-SUM('TipoRecurso (G)'!D28:D29,'TipoRecurso (G)'!D31:D34)</f>
        <v>111.66775349421732</v>
      </c>
      <c r="E30" s="174">
        <f>'Resumenn(G)'!F32-SUM('TipoRecurso (G)'!E28:E29,'TipoRecurso (G)'!E31:E34)</f>
        <v>110.4603863137263</v>
      </c>
      <c r="F30" s="175">
        <f t="shared" si="2"/>
        <v>-1.0812138175176456E-2</v>
      </c>
      <c r="G30" s="260">
        <f>'Resumenn(G)'!H32-SUM('TipoRecurso (G)'!G28:G29,'TipoRecurso (G)'!G31:G34)</f>
        <v>1535.1211852716442</v>
      </c>
      <c r="H30" s="174">
        <f>'Resumenn(G)'!I32-SUM('TipoRecurso (G)'!H28:H29,'TipoRecurso (G)'!H31:H34)</f>
        <v>1475.3277598045825</v>
      </c>
      <c r="I30" s="175">
        <f t="shared" si="3"/>
        <v>-3.8950296589439048E-2</v>
      </c>
      <c r="J30" s="311"/>
      <c r="K30" s="54"/>
      <c r="L30" s="54"/>
      <c r="M30" s="55" t="s">
        <v>4</v>
      </c>
      <c r="N30" s="100">
        <f>D34</f>
        <v>0.42012669999999996</v>
      </c>
      <c r="O30" s="100">
        <f>E34</f>
        <v>0.37478663738616141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2" t="s">
        <v>6</v>
      </c>
      <c r="D31" s="173">
        <f>'Resumenn(G)'!E57+'Resumenn(G)'!E62-SUM('TipoRecurso (G)'!D32:D33)</f>
        <v>38.472540422500003</v>
      </c>
      <c r="E31" s="174">
        <f>'Resumenn(G)'!F57+'Resumenn(G)'!F62-SUM('TipoRecurso (G)'!E32:E33)</f>
        <v>38.082098085618952</v>
      </c>
      <c r="F31" s="175">
        <f t="shared" si="2"/>
        <v>-1.0148597742526744E-2</v>
      </c>
      <c r="G31" s="260">
        <f>'Resumenn(G)'!H57+'Resumenn(G)'!H62-SUM('TipoRecurso (G)'!G32:G33)</f>
        <v>406.20322194999972</v>
      </c>
      <c r="H31" s="174">
        <f>'Resumenn(G)'!I57+'Resumenn(G)'!I62-SUM('TipoRecurso (G)'!H32:H33)</f>
        <v>533.61852283491089</v>
      </c>
      <c r="I31" s="175">
        <f t="shared" si="3"/>
        <v>0.31367378198835394</v>
      </c>
      <c r="J31" s="20"/>
      <c r="K31" s="54"/>
      <c r="L31" s="54"/>
      <c r="M31" s="55" t="s">
        <v>91</v>
      </c>
      <c r="N31" s="70">
        <f t="shared" ref="N31:O33" si="4">D31</f>
        <v>38.472540422500003</v>
      </c>
      <c r="O31" s="70">
        <f t="shared" si="4"/>
        <v>38.082098085618952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2" t="s">
        <v>14</v>
      </c>
      <c r="D32" s="173">
        <f>'Resumenn(G)'!E43</f>
        <v>110.21798868249998</v>
      </c>
      <c r="E32" s="174">
        <f>'Resumenn(G)'!F43</f>
        <v>112.8967522775</v>
      </c>
      <c r="F32" s="175">
        <f t="shared" si="2"/>
        <v>2.4304232249389157E-2</v>
      </c>
      <c r="G32" s="260">
        <f>'Resumenn(G)'!H43</f>
        <v>1502.4381678166669</v>
      </c>
      <c r="H32" s="174">
        <f>'Resumenn(G)'!I43</f>
        <v>1647.3883703124998</v>
      </c>
      <c r="I32" s="175">
        <f t="shared" si="3"/>
        <v>9.6476650820495058E-2</v>
      </c>
      <c r="J32" s="20"/>
      <c r="K32" s="54"/>
      <c r="L32" s="54"/>
      <c r="M32" s="55" t="s">
        <v>14</v>
      </c>
      <c r="N32" s="70">
        <f t="shared" si="4"/>
        <v>110.21798868249998</v>
      </c>
      <c r="O32" s="70">
        <f t="shared" si="4"/>
        <v>112.8967522775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2" t="s">
        <v>5</v>
      </c>
      <c r="D33" s="173">
        <f>'Resumenn(G)'!E44</f>
        <v>56.281983437499996</v>
      </c>
      <c r="E33" s="174">
        <f>'Resumenn(G)'!F44</f>
        <v>57.717047255000004</v>
      </c>
      <c r="F33" s="175">
        <f t="shared" si="2"/>
        <v>2.5497747766718648E-2</v>
      </c>
      <c r="G33" s="260">
        <f>'Resumenn(G)'!H44</f>
        <v>745.40054000000021</v>
      </c>
      <c r="H33" s="174">
        <f>'Resumenn(G)'!I44</f>
        <v>761.76794647749989</v>
      </c>
      <c r="I33" s="175">
        <f t="shared" si="3"/>
        <v>2.1957867749196502E-2</v>
      </c>
      <c r="J33" s="20"/>
      <c r="K33" s="54"/>
      <c r="L33" s="54"/>
      <c r="M33" s="55" t="s">
        <v>5</v>
      </c>
      <c r="N33" s="70">
        <f t="shared" si="4"/>
        <v>56.281983437499996</v>
      </c>
      <c r="O33" s="70">
        <f t="shared" si="4"/>
        <v>57.717047255000004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6" t="s">
        <v>4</v>
      </c>
      <c r="D34" s="177">
        <v>0.42012669999999996</v>
      </c>
      <c r="E34" s="178">
        <v>0.37478663738616141</v>
      </c>
      <c r="F34" s="179">
        <f t="shared" si="2"/>
        <v>-0.10791997417407306</v>
      </c>
      <c r="G34" s="261">
        <v>4.2490399999999999</v>
      </c>
      <c r="H34" s="178">
        <v>4.4780156752067688</v>
      </c>
      <c r="I34" s="179">
        <f t="shared" si="3"/>
        <v>5.3888801989806945E-2</v>
      </c>
      <c r="J34" s="20"/>
      <c r="K34" s="54"/>
      <c r="L34" s="54"/>
      <c r="M34" s="98"/>
      <c r="N34" s="99">
        <f>SUM(N27:N33)</f>
        <v>4841.4858932705511</v>
      </c>
      <c r="O34" s="99">
        <f>SUM(O27:O33)</f>
        <v>4956.085232526244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14" t="s">
        <v>108</v>
      </c>
      <c r="D35" s="315">
        <f>SUM(D28:D34)</f>
        <v>4841.4858932705511</v>
      </c>
      <c r="E35" s="316">
        <f>SUM(E28:E34)</f>
        <v>4956.085232526244</v>
      </c>
      <c r="F35" s="317">
        <f t="shared" si="2"/>
        <v>2.367028259133841E-2</v>
      </c>
      <c r="G35" s="318">
        <f>SUM(G28:G34)</f>
        <v>54893.157159376504</v>
      </c>
      <c r="H35" s="316">
        <f>SUM(H28:H34)</f>
        <v>56966.562627180087</v>
      </c>
      <c r="I35" s="319">
        <f t="shared" si="3"/>
        <v>3.7771656342951321E-2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80"/>
      <c r="D36" s="180"/>
      <c r="E36" s="181"/>
      <c r="F36" s="182"/>
      <c r="G36" s="17"/>
      <c r="H36" s="17"/>
      <c r="I36" s="18"/>
      <c r="J36" s="20"/>
      <c r="K36" s="54"/>
      <c r="L36" s="54"/>
      <c r="M36" s="55"/>
      <c r="N36" s="99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4"/>
      <c r="N39" s="234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4">
        <f t="shared" ref="M40:N46" si="5">N27/N$34</f>
        <v>0.59936339164846486</v>
      </c>
      <c r="N40" s="234">
        <f t="shared" si="5"/>
        <v>0.67730448636400864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4">
        <f t="shared" si="5"/>
        <v>0.33514836781417934</v>
      </c>
      <c r="N41" s="234">
        <f t="shared" si="5"/>
        <v>0.25822304079146002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4">
        <f t="shared" si="5"/>
        <v>2.3064768948192229E-2</v>
      </c>
      <c r="N42" s="234">
        <f t="shared" si="5"/>
        <v>2.2287830239235376E-2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4">
        <f t="shared" si="5"/>
        <v>8.6776396598399125E-5</v>
      </c>
      <c r="N43" s="234">
        <f t="shared" si="5"/>
        <v>7.5621507662232645E-5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4">
        <f t="shared" si="5"/>
        <v>7.9464324115815586E-3</v>
      </c>
      <c r="N44" s="234">
        <f t="shared" si="5"/>
        <v>7.6839070150953653E-3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4">
        <f t="shared" si="5"/>
        <v>2.2765322694773944E-2</v>
      </c>
      <c r="N45" s="234">
        <f t="shared" si="5"/>
        <v>2.2779421051230313E-2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4">
        <f t="shared" si="5"/>
        <v>1.1624940086209781E-2</v>
      </c>
      <c r="N46" s="234">
        <f t="shared" si="5"/>
        <v>1.1645693031308128E-2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4">
        <f>N34/N$34</f>
        <v>1</v>
      </c>
      <c r="N47" s="234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101</v>
      </c>
      <c r="D49" s="26"/>
      <c r="E49" s="26"/>
      <c r="F49" s="26"/>
      <c r="G49" s="26"/>
      <c r="H49" s="26"/>
      <c r="I49" s="26"/>
      <c r="M49" s="235">
        <f>SUM(M39:M46)</f>
        <v>1</v>
      </c>
      <c r="N49" s="235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161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509" t="s">
        <v>92</v>
      </c>
      <c r="D53" s="511" t="s">
        <v>157</v>
      </c>
      <c r="E53" s="511"/>
      <c r="F53" s="507" t="s">
        <v>75</v>
      </c>
      <c r="G53" s="505" t="s">
        <v>158</v>
      </c>
      <c r="H53" s="506"/>
      <c r="I53" s="507" t="s">
        <v>75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510"/>
      <c r="D54" s="96">
        <v>2019</v>
      </c>
      <c r="E54" s="97">
        <v>2020</v>
      </c>
      <c r="F54" s="508"/>
      <c r="G54" s="245">
        <v>2018</v>
      </c>
      <c r="H54" s="97">
        <v>2019</v>
      </c>
      <c r="I54" s="508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7" t="s">
        <v>42</v>
      </c>
      <c r="D55" s="298">
        <f>SUM(D28:D30,D34)</f>
        <v>4636.5133807280517</v>
      </c>
      <c r="E55" s="299">
        <f>SUM(E28:E30,E34)</f>
        <v>4747.3893349081254</v>
      </c>
      <c r="F55" s="300">
        <f>+E55/D55-1</f>
        <v>2.3913649131465098E-2</v>
      </c>
      <c r="G55" s="301">
        <f>SUM(G28:G30,G34)</f>
        <v>52239.11522960983</v>
      </c>
      <c r="H55" s="299">
        <f>SUM(H28:H30,H34)</f>
        <v>54023.787787555171</v>
      </c>
      <c r="I55" s="300">
        <f>+H55/G55-1</f>
        <v>3.4163529571683116E-2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7.75" thickBot="1">
      <c r="C56" s="302" t="s">
        <v>173</v>
      </c>
      <c r="D56" s="303">
        <f>SUM(D31:D33)</f>
        <v>204.9725125425</v>
      </c>
      <c r="E56" s="304">
        <f>SUM(E31:E33)</f>
        <v>208.69589761811898</v>
      </c>
      <c r="F56" s="305">
        <f>+E56/D56-1</f>
        <v>1.8165289723162115E-2</v>
      </c>
      <c r="G56" s="306">
        <f>SUM(G31:G33)</f>
        <v>2654.0419297666667</v>
      </c>
      <c r="H56" s="304">
        <f>SUM(H31:H33)</f>
        <v>2942.7748396249108</v>
      </c>
      <c r="I56" s="307">
        <f>+H56/G56-1</f>
        <v>0.10878988256362199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3" t="s">
        <v>72</v>
      </c>
      <c r="D57" s="101">
        <f>SUM(D55:D56)</f>
        <v>4841.485893270552</v>
      </c>
      <c r="E57" s="102">
        <f>SUM(E55:E56)</f>
        <v>4956.085232526244</v>
      </c>
      <c r="F57" s="103">
        <f>+E57/D57-1</f>
        <v>2.367028259133841E-2</v>
      </c>
      <c r="G57" s="262">
        <f>SUM(G55:G56)</f>
        <v>54893.157159376497</v>
      </c>
      <c r="H57" s="102">
        <f>SUM(H55:H56)</f>
        <v>56966.562627180079</v>
      </c>
      <c r="I57" s="103">
        <f>+H57/G57-1</f>
        <v>3.7771656342951321E-2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6" t="s">
        <v>8</v>
      </c>
      <c r="D58" s="104">
        <f>+D56/D57</f>
        <v>4.2336695192565277E-2</v>
      </c>
      <c r="E58" s="105">
        <f>+E56/E57</f>
        <v>4.2109021097633807E-2</v>
      </c>
      <c r="F58" s="106"/>
      <c r="G58" s="263">
        <f>+G56/G57</f>
        <v>4.8349230889761646E-2</v>
      </c>
      <c r="H58" s="105">
        <f>+H56/H57</f>
        <v>5.1657932371381034E-2</v>
      </c>
      <c r="I58" s="106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72" t="s">
        <v>174</v>
      </c>
      <c r="D59" s="124"/>
      <c r="E59" s="124"/>
      <c r="F59" s="125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58</v>
      </c>
      <c r="M63" s="76">
        <f>D55</f>
        <v>4636.5133807280517</v>
      </c>
      <c r="N63" s="76">
        <f>E55</f>
        <v>4747.3893349081254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59</v>
      </c>
      <c r="M64" s="76">
        <f>D56</f>
        <v>204.9725125425</v>
      </c>
      <c r="N64" s="76">
        <f>E56</f>
        <v>208.69589761811898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72" t="s">
        <v>174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116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162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9"/>
      <c r="D76" s="511" t="s">
        <v>157</v>
      </c>
      <c r="E76" s="511"/>
      <c r="F76" s="107" t="s">
        <v>75</v>
      </c>
      <c r="G76" s="505" t="s">
        <v>158</v>
      </c>
      <c r="H76" s="506"/>
      <c r="I76" s="232" t="s">
        <v>75</v>
      </c>
      <c r="J76" s="19"/>
      <c r="K76" s="57"/>
      <c r="L76" s="57"/>
      <c r="M76" s="55" t="s">
        <v>97</v>
      </c>
      <c r="N76" s="70">
        <f>D78</f>
        <v>6.5161677950000012</v>
      </c>
      <c r="O76" s="70">
        <f>E78</f>
        <v>3.8554771800000003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7" t="s">
        <v>96</v>
      </c>
      <c r="D77" s="128">
        <v>2019</v>
      </c>
      <c r="E77" s="237">
        <v>2020</v>
      </c>
      <c r="F77" s="108"/>
      <c r="G77" s="264">
        <v>2018</v>
      </c>
      <c r="H77" s="237">
        <v>2019</v>
      </c>
      <c r="I77" s="233"/>
      <c r="J77" s="19"/>
      <c r="K77" s="57"/>
      <c r="L77" s="57"/>
      <c r="M77" s="55" t="s">
        <v>98</v>
      </c>
      <c r="N77" s="70">
        <f>D79</f>
        <v>4616.3877239252588</v>
      </c>
      <c r="O77" s="70">
        <f>E79</f>
        <v>4727.7190943128062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9" t="s">
        <v>97</v>
      </c>
      <c r="D78" s="481">
        <v>6.5161677950000012</v>
      </c>
      <c r="E78" s="482">
        <v>3.8554771800000003</v>
      </c>
      <c r="F78" s="160">
        <f>((E78/D78)-1)</f>
        <v>-0.40832137825572989</v>
      </c>
      <c r="G78" s="241">
        <v>135.85828905</v>
      </c>
      <c r="H78" s="344">
        <v>192.56690263249999</v>
      </c>
      <c r="I78" s="160">
        <f>((H78/G78)-1)</f>
        <v>0.41741003790817288</v>
      </c>
      <c r="J78" s="19"/>
      <c r="K78" s="267"/>
      <c r="L78" s="57"/>
    </row>
    <row r="79" spans="2:28" ht="16.5" customHeight="1" thickBot="1">
      <c r="C79" s="308" t="s">
        <v>98</v>
      </c>
      <c r="D79" s="162">
        <f>'Resumenn(G)'!E40-D78</f>
        <v>4616.3877239252588</v>
      </c>
      <c r="E79" s="342">
        <f>'Resumenn(G)'!F40-E78</f>
        <v>4727.7190943128062</v>
      </c>
      <c r="F79" s="164">
        <f>((E79/D79)-1)</f>
        <v>2.4116555420714114E-2</v>
      </c>
      <c r="G79" s="242">
        <f>'Resumenn(G)'!H40-G78</f>
        <v>52226.536297599443</v>
      </c>
      <c r="H79" s="342">
        <f>'Resumenn(G)'!I40-H78</f>
        <v>54239.151475142651</v>
      </c>
      <c r="I79" s="164">
        <f>((H79/G79)-1)</f>
        <v>3.8536256091632026E-2</v>
      </c>
      <c r="J79" s="19"/>
      <c r="K79" s="57"/>
      <c r="L79" s="57"/>
      <c r="M79" s="70"/>
      <c r="N79" s="70"/>
      <c r="O79" s="70"/>
    </row>
    <row r="80" spans="2:28" ht="14.25" thickTop="1" thickBot="1">
      <c r="C80" s="129" t="s">
        <v>95</v>
      </c>
      <c r="D80" s="236">
        <f>SUM(D78:D79)</f>
        <v>4622.9038917202588</v>
      </c>
      <c r="E80" s="343">
        <f>SUM(E78:E79)</f>
        <v>4731.5745714928062</v>
      </c>
      <c r="F80" s="130"/>
      <c r="G80" s="265">
        <f>SUM(G78:G79)</f>
        <v>52362.39458664944</v>
      </c>
      <c r="H80" s="343">
        <f>SUM(H78:H79)</f>
        <v>54431.718377775149</v>
      </c>
      <c r="I80" s="130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5"/>
  <sheetViews>
    <sheetView view="pageBreakPreview" topLeftCell="A4" zoomScaleNormal="100" zoomScaleSheetLayoutView="100" workbookViewId="0">
      <selection activeCell="N10" sqref="N10:N13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4" ht="15">
      <c r="C2" s="21" t="s">
        <v>93</v>
      </c>
      <c r="D2" s="3"/>
      <c r="E2" s="21"/>
      <c r="F2" s="21"/>
      <c r="G2" s="21"/>
      <c r="H2" s="21"/>
      <c r="I2" s="21"/>
      <c r="J2" s="21"/>
    </row>
    <row r="3" spans="2:14" ht="15">
      <c r="C3" s="22"/>
      <c r="D3" s="3"/>
      <c r="E3" s="22"/>
      <c r="F3" s="22"/>
      <c r="G3" s="22"/>
      <c r="H3" s="22"/>
      <c r="I3" s="22"/>
      <c r="J3" s="22"/>
    </row>
    <row r="4" spans="2:14" ht="15">
      <c r="C4" s="23" t="s">
        <v>163</v>
      </c>
      <c r="D4" s="3"/>
      <c r="E4" s="23"/>
      <c r="F4" s="23"/>
      <c r="G4" s="23"/>
      <c r="H4" s="23"/>
      <c r="I4" s="23"/>
      <c r="J4" s="23"/>
    </row>
    <row r="6" spans="2:14">
      <c r="C6" s="10" t="s">
        <v>166</v>
      </c>
    </row>
    <row r="7" spans="2:14" ht="6" customHeight="1" thickBot="1">
      <c r="C7" s="88"/>
      <c r="D7" s="89"/>
      <c r="E7" s="89"/>
      <c r="F7" s="89"/>
      <c r="G7" s="26"/>
      <c r="H7" s="26"/>
      <c r="I7" s="26"/>
      <c r="J7" s="26"/>
    </row>
    <row r="8" spans="2:14" ht="13.5" customHeight="1">
      <c r="C8" s="211" t="s">
        <v>44</v>
      </c>
      <c r="D8" s="519" t="s">
        <v>157</v>
      </c>
      <c r="E8" s="520"/>
      <c r="F8" s="507" t="s">
        <v>75</v>
      </c>
      <c r="G8" s="505" t="s">
        <v>158</v>
      </c>
      <c r="H8" s="506"/>
      <c r="I8" s="507" t="s">
        <v>75</v>
      </c>
      <c r="J8" s="26"/>
    </row>
    <row r="9" spans="2:14" s="1" customFormat="1" ht="13.5" customHeight="1">
      <c r="B9" s="19"/>
      <c r="C9" s="212"/>
      <c r="D9" s="111">
        <v>2019</v>
      </c>
      <c r="E9" s="97">
        <v>2020</v>
      </c>
      <c r="F9" s="508"/>
      <c r="G9" s="245">
        <v>2018</v>
      </c>
      <c r="H9" s="97">
        <v>2019</v>
      </c>
      <c r="I9" s="508"/>
      <c r="J9" s="26"/>
    </row>
    <row r="10" spans="2:14">
      <c r="C10" s="199" t="s">
        <v>10</v>
      </c>
      <c r="D10" s="200">
        <f>'Por Región (G)'!O8</f>
        <v>288.89417405427554</v>
      </c>
      <c r="E10" s="201">
        <f>'Por Región (G)'!P8</f>
        <v>299.35525686038653</v>
      </c>
      <c r="F10" s="202">
        <f>+E10/D10-1</f>
        <v>3.6210778013632261E-2</v>
      </c>
      <c r="G10" s="474">
        <f>'Por Región (G)'!Q8</f>
        <v>3217.6704937406771</v>
      </c>
      <c r="H10" s="201">
        <f>'Por Región (G)'!R8</f>
        <v>3481.6895823622403</v>
      </c>
      <c r="I10" s="202">
        <f>+H10/G10-1</f>
        <v>8.2052866859785301E-2</v>
      </c>
      <c r="J10" s="26"/>
      <c r="L10" s="146" t="s">
        <v>9</v>
      </c>
      <c r="M10" s="238">
        <f>E11</f>
        <v>3964.336710587434</v>
      </c>
      <c r="N10">
        <f>M10/$M$14</f>
        <v>0.79989276305619728</v>
      </c>
    </row>
    <row r="11" spans="2:14">
      <c r="C11" s="203" t="s">
        <v>9</v>
      </c>
      <c r="D11" s="204">
        <f>'Por Región (G)'!O9</f>
        <v>3893.0915620869409</v>
      </c>
      <c r="E11" s="205">
        <f>'Por Región (G)'!P9</f>
        <v>3964.336710587434</v>
      </c>
      <c r="F11" s="206">
        <f>+E11/D11-1</f>
        <v>1.8300404027050687E-2</v>
      </c>
      <c r="G11" s="475">
        <f>'Por Región (G)'!Q9</f>
        <v>43933.037663919291</v>
      </c>
      <c r="H11" s="205">
        <f>'Por Región (G)'!R9</f>
        <v>45773.8405134243</v>
      </c>
      <c r="I11" s="206">
        <f>+H11/G11-1</f>
        <v>4.1900195101164162E-2</v>
      </c>
      <c r="J11" s="26"/>
      <c r="L11" s="146" t="s">
        <v>12</v>
      </c>
      <c r="M11" s="238">
        <f>E12</f>
        <v>631.61498086806068</v>
      </c>
      <c r="N11" s="1">
        <f t="shared" ref="N11:N13" si="0">M11/$M$14</f>
        <v>0.12744231610926315</v>
      </c>
    </row>
    <row r="12" spans="2:14">
      <c r="C12" s="203" t="s">
        <v>12</v>
      </c>
      <c r="D12" s="204">
        <f>'Por Región (G)'!O10</f>
        <v>602.93063739600132</v>
      </c>
      <c r="E12" s="205">
        <f>'Por Región (G)'!P10</f>
        <v>631.61498086806068</v>
      </c>
      <c r="F12" s="206">
        <f>+E12/D12-1</f>
        <v>4.7574864657639937E-2</v>
      </c>
      <c r="G12" s="475">
        <f>'Por Región (G)'!Q10</f>
        <v>6827.2731527804453</v>
      </c>
      <c r="H12" s="205">
        <f>'Por Región (G)'!R10</f>
        <v>6860.3392409556882</v>
      </c>
      <c r="I12" s="345">
        <f>+H12/G12-1</f>
        <v>4.8432349834686139E-3</v>
      </c>
      <c r="J12" s="26"/>
      <c r="L12" s="146" t="s">
        <v>10</v>
      </c>
      <c r="M12" s="238">
        <f>E10</f>
        <v>299.35525686038653</v>
      </c>
      <c r="N12" s="1">
        <f t="shared" si="0"/>
        <v>6.0401555424380263E-2</v>
      </c>
    </row>
    <row r="13" spans="2:14">
      <c r="C13" s="207" t="s">
        <v>11</v>
      </c>
      <c r="D13" s="208">
        <f>'Por Región (G)'!O11</f>
        <v>56.56951973333333</v>
      </c>
      <c r="E13" s="209">
        <f>'Por Región (G)'!P11</f>
        <v>60.778284210363644</v>
      </c>
      <c r="F13" s="210">
        <f>+E13/D13-1</f>
        <v>7.4399862273363482E-2</v>
      </c>
      <c r="G13" s="476">
        <f>'Por Región (G)'!Q11</f>
        <v>915.17584893606772</v>
      </c>
      <c r="H13" s="209">
        <f>'Por Región (G)'!R11</f>
        <v>850.69329043786297</v>
      </c>
      <c r="I13" s="210">
        <f>+H13/G13-1</f>
        <v>-7.04592003527722E-2</v>
      </c>
      <c r="J13" s="26"/>
      <c r="L13" s="146" t="s">
        <v>11</v>
      </c>
      <c r="M13" s="238">
        <f>E13</f>
        <v>60.778284210363644</v>
      </c>
      <c r="N13" s="1">
        <f t="shared" si="0"/>
        <v>1.2263365410159295E-2</v>
      </c>
    </row>
    <row r="14" spans="2:14" ht="13.5" thickBot="1">
      <c r="C14" s="213" t="s">
        <v>108</v>
      </c>
      <c r="D14" s="214">
        <f>SUM(D10:D13)</f>
        <v>4841.485893270552</v>
      </c>
      <c r="E14" s="215">
        <f>SUM(E10:E13)</f>
        <v>4956.0852325262449</v>
      </c>
      <c r="F14" s="216">
        <f>+E14/D14-1</f>
        <v>2.367028259133841E-2</v>
      </c>
      <c r="G14" s="483">
        <f>SUM(G10:G13)</f>
        <v>54893.157159376475</v>
      </c>
      <c r="H14" s="215">
        <f>SUM(H10:H13)</f>
        <v>56966.562627180094</v>
      </c>
      <c r="I14" s="216">
        <f>+H14/G14-1</f>
        <v>3.7771656342951987E-2</v>
      </c>
      <c r="J14" s="26"/>
      <c r="M14" s="424">
        <f>SUM(M10:M13)</f>
        <v>4956.0852325262449</v>
      </c>
    </row>
    <row r="15" spans="2:14">
      <c r="C15" s="25"/>
      <c r="D15" s="26"/>
      <c r="E15" s="26"/>
      <c r="F15" s="26"/>
      <c r="G15" s="26"/>
      <c r="H15" s="26"/>
      <c r="I15" s="26"/>
      <c r="J15" s="26"/>
    </row>
    <row r="16" spans="2:14" ht="15">
      <c r="C16" s="23" t="s">
        <v>167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516" t="s">
        <v>94</v>
      </c>
      <c r="D18" s="516"/>
      <c r="E18" s="516"/>
      <c r="F18" s="516"/>
      <c r="G18" s="517" t="s">
        <v>107</v>
      </c>
      <c r="H18" s="518"/>
      <c r="I18" s="518"/>
      <c r="J18" s="518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52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2">
      <c r="C49" s="25"/>
      <c r="D49" s="19"/>
      <c r="E49" s="19"/>
      <c r="F49" s="19"/>
      <c r="G49" s="19"/>
      <c r="H49" s="19"/>
      <c r="I49" s="19"/>
      <c r="J49" s="19"/>
    </row>
    <row r="50" spans="3:12">
      <c r="C50" s="25"/>
      <c r="D50" s="19"/>
      <c r="E50" s="19"/>
      <c r="F50" s="19"/>
      <c r="G50" s="19"/>
      <c r="H50" s="19"/>
      <c r="I50" s="19"/>
      <c r="J50" s="19"/>
    </row>
    <row r="51" spans="3:12">
      <c r="C51" s="25"/>
      <c r="D51" s="19"/>
      <c r="E51" s="19"/>
      <c r="F51" s="19"/>
      <c r="G51" s="19"/>
      <c r="H51" s="19"/>
      <c r="I51" s="19"/>
      <c r="J51" s="19"/>
    </row>
    <row r="52" spans="3:12">
      <c r="C52" s="25"/>
      <c r="D52" s="19"/>
      <c r="E52" s="19"/>
      <c r="F52" s="19"/>
      <c r="G52" s="19"/>
      <c r="H52" s="19"/>
      <c r="I52" s="37"/>
      <c r="J52" s="19"/>
    </row>
    <row r="53" spans="3:12" ht="13.5" thickBot="1">
      <c r="C53" s="217" t="s">
        <v>99</v>
      </c>
      <c r="D53" s="87"/>
      <c r="E53" s="87"/>
      <c r="F53" s="87"/>
      <c r="G53" s="87"/>
      <c r="H53" s="87"/>
      <c r="I53" s="37"/>
      <c r="J53" s="19"/>
    </row>
    <row r="54" spans="3:12">
      <c r="C54" s="512" t="s">
        <v>13</v>
      </c>
      <c r="D54" s="514" t="s">
        <v>164</v>
      </c>
      <c r="E54" s="515"/>
      <c r="F54" s="515"/>
      <c r="G54" s="515"/>
      <c r="H54" s="515"/>
      <c r="I54" s="19"/>
      <c r="J54" s="19"/>
    </row>
    <row r="55" spans="3:12">
      <c r="C55" s="513"/>
      <c r="D55" s="114" t="s">
        <v>14</v>
      </c>
      <c r="E55" s="115" t="s">
        <v>15</v>
      </c>
      <c r="F55" s="115" t="s">
        <v>5</v>
      </c>
      <c r="G55" s="115" t="s">
        <v>16</v>
      </c>
      <c r="H55" s="115" t="s">
        <v>72</v>
      </c>
      <c r="I55" s="19"/>
      <c r="J55" s="19"/>
    </row>
    <row r="56" spans="3:12">
      <c r="C56" s="218" t="s">
        <v>10</v>
      </c>
      <c r="D56" s="353">
        <f>'Resumenn(G)'!F14-'PorZona (G)'!D58</f>
        <v>65.1159365675</v>
      </c>
      <c r="E56" s="222">
        <v>171.19571690241446</v>
      </c>
      <c r="F56" s="222">
        <v>0</v>
      </c>
      <c r="G56" s="222">
        <v>63.043603390472072</v>
      </c>
      <c r="H56" s="222">
        <f>SUM(D56:G56)</f>
        <v>299.35525686038653</v>
      </c>
      <c r="I56" s="348"/>
      <c r="K56" s="320"/>
      <c r="L56" s="334"/>
    </row>
    <row r="57" spans="3:12">
      <c r="C57" s="219" t="s">
        <v>9</v>
      </c>
      <c r="D57" s="354">
        <v>0</v>
      </c>
      <c r="E57" s="223">
        <v>2734.0963022944393</v>
      </c>
      <c r="F57" s="355">
        <v>6.5010000000000007E-3</v>
      </c>
      <c r="G57" s="223">
        <v>1230.2339072929949</v>
      </c>
      <c r="H57" s="223">
        <f>SUM(D57:G57)</f>
        <v>3964.336710587434</v>
      </c>
      <c r="I57" s="348"/>
      <c r="K57" s="320"/>
      <c r="L57" s="334"/>
    </row>
    <row r="58" spans="3:12">
      <c r="C58" s="219" t="s">
        <v>12</v>
      </c>
      <c r="D58" s="354">
        <v>47.780815709999999</v>
      </c>
      <c r="E58" s="223">
        <v>451.48674359558271</v>
      </c>
      <c r="F58" s="223">
        <f>'Resumenn(G)'!D15</f>
        <v>57.717047255000004</v>
      </c>
      <c r="G58" s="223">
        <v>74.63037430747795</v>
      </c>
      <c r="H58" s="223">
        <f>SUM(D58:G58)</f>
        <v>631.61498086806068</v>
      </c>
      <c r="I58" s="348"/>
      <c r="K58" s="320"/>
      <c r="L58" s="334"/>
    </row>
    <row r="59" spans="3:12">
      <c r="C59" s="220" t="s">
        <v>11</v>
      </c>
      <c r="D59" s="356">
        <v>0</v>
      </c>
      <c r="E59" s="224">
        <v>0</v>
      </c>
      <c r="F59" s="224">
        <v>0</v>
      </c>
      <c r="G59" s="224">
        <f>E13</f>
        <v>60.778284210363644</v>
      </c>
      <c r="H59" s="224">
        <f>SUM(D59:G59)</f>
        <v>60.778284210363644</v>
      </c>
      <c r="I59" s="348"/>
      <c r="K59" s="19"/>
      <c r="L59" s="334"/>
    </row>
    <row r="60" spans="3:12" ht="13.5" thickBot="1">
      <c r="C60" s="116" t="s">
        <v>108</v>
      </c>
      <c r="D60" s="225">
        <f>SUM(D56:D59)</f>
        <v>112.8967522775</v>
      </c>
      <c r="E60" s="226">
        <f>SUM(E56:E59)</f>
        <v>3356.7787627924363</v>
      </c>
      <c r="F60" s="226">
        <f>SUM(F56:F59)</f>
        <v>57.723548255000004</v>
      </c>
      <c r="G60" s="226">
        <f>SUM(G56:G59)</f>
        <v>1428.6861692013085</v>
      </c>
      <c r="H60" s="226">
        <f>SUM(H56:H59)</f>
        <v>4956.0852325262449</v>
      </c>
      <c r="I60" s="19"/>
      <c r="J60" s="19"/>
    </row>
    <row r="61" spans="3:12" ht="6.75" customHeight="1">
      <c r="C61" s="19"/>
      <c r="D61" s="19"/>
      <c r="E61" s="19"/>
      <c r="F61" s="19"/>
      <c r="G61" s="19"/>
      <c r="H61" s="19"/>
      <c r="I61" s="19"/>
      <c r="J61" s="19"/>
    </row>
    <row r="62" spans="3:12">
      <c r="C62" s="19"/>
      <c r="D62" s="19"/>
      <c r="E62" s="19"/>
      <c r="F62" s="19"/>
      <c r="G62" s="19"/>
      <c r="H62" s="19"/>
      <c r="I62" s="19"/>
      <c r="J62" s="19"/>
    </row>
    <row r="63" spans="3:12">
      <c r="C63" s="19"/>
      <c r="D63" s="19"/>
      <c r="E63" s="19"/>
      <c r="F63" s="19"/>
      <c r="G63" s="19"/>
      <c r="H63" s="19"/>
      <c r="I63" s="19"/>
      <c r="J63" s="19"/>
    </row>
    <row r="64" spans="3:12">
      <c r="E64" s="351"/>
      <c r="H64" s="123"/>
    </row>
    <row r="65" spans="5:5">
      <c r="E65" s="123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topLeftCell="A25" zoomScale="120" zoomScaleNormal="100" zoomScaleSheetLayoutView="12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102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100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9" t="s">
        <v>61</v>
      </c>
      <c r="D6" s="519" t="s">
        <v>157</v>
      </c>
      <c r="E6" s="520"/>
      <c r="F6" s="507" t="s">
        <v>75</v>
      </c>
      <c r="G6" s="505" t="s">
        <v>158</v>
      </c>
      <c r="H6" s="506"/>
      <c r="I6" s="507" t="s">
        <v>75</v>
      </c>
      <c r="O6" s="47"/>
      <c r="P6" s="86"/>
      <c r="Q6" s="521" t="s">
        <v>117</v>
      </c>
      <c r="R6" s="521"/>
    </row>
    <row r="7" spans="3:19" ht="12.75" customHeight="1">
      <c r="C7" s="110"/>
      <c r="D7" s="111">
        <v>2019</v>
      </c>
      <c r="E7" s="97">
        <v>2020</v>
      </c>
      <c r="F7" s="508"/>
      <c r="G7" s="245">
        <v>2018</v>
      </c>
      <c r="H7" s="97">
        <v>2019</v>
      </c>
      <c r="I7" s="508"/>
      <c r="N7" s="54"/>
      <c r="O7" s="331">
        <v>2018</v>
      </c>
      <c r="P7" s="333">
        <v>2019</v>
      </c>
      <c r="Q7" s="54">
        <v>2018</v>
      </c>
      <c r="R7" s="54">
        <v>2019</v>
      </c>
    </row>
    <row r="8" spans="3:19" ht="20.100000000000001" customHeight="1">
      <c r="C8" s="118" t="s">
        <v>17</v>
      </c>
      <c r="D8" s="227">
        <v>6.1737599999999997</v>
      </c>
      <c r="E8" s="293">
        <v>5.9919543767300922</v>
      </c>
      <c r="F8" s="229">
        <f>+E8/D8-1</f>
        <v>-2.9448119666120376E-2</v>
      </c>
      <c r="G8" s="246">
        <v>67.596490000000003</v>
      </c>
      <c r="H8" s="293">
        <v>53.044520296363004</v>
      </c>
      <c r="I8" s="229">
        <f>+H8/G8-1</f>
        <v>-0.21527700186262633</v>
      </c>
      <c r="J8" s="26"/>
      <c r="K8" s="46"/>
      <c r="L8" s="46"/>
      <c r="N8" s="57" t="s">
        <v>10</v>
      </c>
      <c r="O8" s="71">
        <f>SUM(D8,D13,D20,D21,D27,D29,D31)</f>
        <v>288.89417405427554</v>
      </c>
      <c r="P8" s="71">
        <f t="shared" ref="P8" si="0">SUM(E8,E13,E20,E21,E27,E29,E31)</f>
        <v>299.35525686038653</v>
      </c>
      <c r="Q8" s="71">
        <f>SUM(G8,G13,G20,G21,G27,G29,G31)</f>
        <v>3217.6704937406771</v>
      </c>
      <c r="R8" s="71">
        <f>SUM(H8,H13,H20,H21,H27,H29,H31)</f>
        <v>3481.6895823622403</v>
      </c>
    </row>
    <row r="9" spans="3:19" ht="20.100000000000001" customHeight="1">
      <c r="C9" s="119" t="s">
        <v>18</v>
      </c>
      <c r="D9" s="228">
        <v>263.43430651</v>
      </c>
      <c r="E9" s="294">
        <v>266.44304371283658</v>
      </c>
      <c r="F9" s="230">
        <f t="shared" ref="F9:F32" si="1">+E9/D9-1</f>
        <v>1.1421204939844776E-2</v>
      </c>
      <c r="G9" s="247">
        <v>2239.4929625196273</v>
      </c>
      <c r="H9" s="294">
        <v>2186.2934141714595</v>
      </c>
      <c r="I9" s="309">
        <f t="shared" ref="I9:I32" si="2">+H9/G9-1</f>
        <v>-2.3755175496650627E-2</v>
      </c>
      <c r="J9" s="26"/>
      <c r="K9" s="46"/>
      <c r="L9" s="46"/>
      <c r="N9" s="57" t="s">
        <v>9</v>
      </c>
      <c r="O9" s="331">
        <f>SUM(D9,D14,D16,D17,D19,D22,D26,D32)</f>
        <v>3893.0915620869409</v>
      </c>
      <c r="P9" s="331">
        <f>SUM(E9,E14,E16,E17,E19,E22,E26,E32)</f>
        <v>3964.336710587434</v>
      </c>
      <c r="Q9" s="331">
        <f>SUM(G9,G14,G16,G17,G19,G22,G26,G32)</f>
        <v>43933.037663919291</v>
      </c>
      <c r="R9" s="331">
        <f>SUM(H9,H14,H16,H17,H19,H22,H26,H32)</f>
        <v>45773.8405134243</v>
      </c>
    </row>
    <row r="10" spans="3:19" ht="20.100000000000001" customHeight="1">
      <c r="C10" s="120" t="s">
        <v>19</v>
      </c>
      <c r="D10" s="228">
        <v>4.3748870081794573</v>
      </c>
      <c r="E10" s="294">
        <v>4.599779382069455</v>
      </c>
      <c r="F10" s="230">
        <f t="shared" si="1"/>
        <v>5.1405298804181765E-2</v>
      </c>
      <c r="G10" s="247">
        <v>46.712536889542577</v>
      </c>
      <c r="H10" s="294">
        <v>43.581096641206869</v>
      </c>
      <c r="I10" s="230">
        <f t="shared" si="2"/>
        <v>-6.7036398723973711E-2</v>
      </c>
      <c r="J10" s="26"/>
      <c r="K10" s="46"/>
      <c r="L10" s="46"/>
      <c r="N10" s="54" t="s">
        <v>12</v>
      </c>
      <c r="O10" s="331">
        <f>SUM(D10,D11,D12,D15,D18,D24,D25,D28,D30)</f>
        <v>602.93063739600132</v>
      </c>
      <c r="P10" s="331">
        <f t="shared" ref="P10" si="3">SUM(E10,E11,E12,E15,E18,E24,E25,E28,E30)</f>
        <v>631.61498086806068</v>
      </c>
      <c r="Q10" s="331">
        <f>SUM(G10,G11,G12,G15,G18,G24,G25,G28,G30)</f>
        <v>6827.2731527804453</v>
      </c>
      <c r="R10" s="331">
        <f>SUM(H10,H11,H12,H15,H18,H24,H25,H28,H30)</f>
        <v>6860.3392409556882</v>
      </c>
    </row>
    <row r="11" spans="3:19" ht="20.100000000000001" customHeight="1">
      <c r="C11" s="119" t="s">
        <v>20</v>
      </c>
      <c r="D11" s="228">
        <v>93.307492211982549</v>
      </c>
      <c r="E11" s="294">
        <v>106.55583249931423</v>
      </c>
      <c r="F11" s="309">
        <f t="shared" si="1"/>
        <v>0.14198581457138704</v>
      </c>
      <c r="G11" s="247">
        <v>1223.5117226444486</v>
      </c>
      <c r="H11" s="294">
        <v>1208.8757856885529</v>
      </c>
      <c r="I11" s="230">
        <f t="shared" si="2"/>
        <v>-1.1962236801672965E-2</v>
      </c>
      <c r="J11" s="26"/>
      <c r="K11" s="46"/>
      <c r="L11" s="46"/>
      <c r="N11" s="332" t="s">
        <v>11</v>
      </c>
      <c r="O11" s="71">
        <f>D23</f>
        <v>56.56951973333333</v>
      </c>
      <c r="P11" s="71">
        <f t="shared" ref="P11" si="4">E23</f>
        <v>60.778284210363644</v>
      </c>
      <c r="Q11" s="71">
        <f>G23</f>
        <v>915.17584893606772</v>
      </c>
      <c r="R11" s="71">
        <f>H23</f>
        <v>850.69329043786297</v>
      </c>
    </row>
    <row r="12" spans="3:19" ht="20.100000000000001" customHeight="1">
      <c r="C12" s="119" t="s">
        <v>21</v>
      </c>
      <c r="D12" s="228">
        <v>0.85626205417262036</v>
      </c>
      <c r="E12" s="294">
        <v>0.80656801225739416</v>
      </c>
      <c r="F12" s="230">
        <f t="shared" si="1"/>
        <v>-5.8036020249950249E-2</v>
      </c>
      <c r="G12" s="247">
        <v>15.036161773953864</v>
      </c>
      <c r="H12" s="294">
        <v>9.7913519846262034</v>
      </c>
      <c r="I12" s="230">
        <f t="shared" si="2"/>
        <v>-0.34881307265614114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9" t="s">
        <v>22</v>
      </c>
      <c r="D13" s="228">
        <v>102.11595378137626</v>
      </c>
      <c r="E13" s="294">
        <v>111.01630920858787</v>
      </c>
      <c r="F13" s="230">
        <f t="shared" si="1"/>
        <v>8.7159303689869017E-2</v>
      </c>
      <c r="G13" s="247">
        <v>1029.0113969016204</v>
      </c>
      <c r="H13" s="294">
        <v>1128.1661159688147</v>
      </c>
      <c r="I13" s="230">
        <f t="shared" si="2"/>
        <v>9.6359203956099648E-2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9" t="s">
        <v>60</v>
      </c>
      <c r="D14" s="228">
        <v>227.13029735031077</v>
      </c>
      <c r="E14" s="294">
        <v>233.92722297523872</v>
      </c>
      <c r="F14" s="230">
        <f t="shared" si="1"/>
        <v>2.9925226639600622E-2</v>
      </c>
      <c r="G14" s="247">
        <v>3417.4148850924671</v>
      </c>
      <c r="H14" s="294">
        <v>3408.721049336662</v>
      </c>
      <c r="I14" s="230">
        <f t="shared" si="2"/>
        <v>-2.5439801862306988E-3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9" t="s">
        <v>23</v>
      </c>
      <c r="D15" s="228">
        <v>202.5435580366667</v>
      </c>
      <c r="E15" s="294">
        <v>205.79416663752414</v>
      </c>
      <c r="F15" s="230">
        <f t="shared" si="1"/>
        <v>1.6048936003528524E-2</v>
      </c>
      <c r="G15" s="247">
        <v>2125.0720188</v>
      </c>
      <c r="H15" s="294">
        <v>2074.5513010815025</v>
      </c>
      <c r="I15" s="309">
        <f t="shared" si="2"/>
        <v>-2.3773649679423969E-2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9" t="s">
        <v>24</v>
      </c>
      <c r="D16" s="228">
        <v>843.19230718099993</v>
      </c>
      <c r="E16" s="294">
        <v>892.09534185472387</v>
      </c>
      <c r="F16" s="230">
        <f t="shared" si="1"/>
        <v>5.7997486762205952E-2</v>
      </c>
      <c r="G16" s="247">
        <v>10265.733182028123</v>
      </c>
      <c r="H16" s="294">
        <v>10145.907983030567</v>
      </c>
      <c r="I16" s="309">
        <f t="shared" si="2"/>
        <v>-1.1672346911112963E-2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9" t="s">
        <v>25</v>
      </c>
      <c r="D17" s="228">
        <v>322.81196532333325</v>
      </c>
      <c r="E17" s="294">
        <v>324.67300198673558</v>
      </c>
      <c r="F17" s="230">
        <f t="shared" si="1"/>
        <v>5.7650795612185224E-3</v>
      </c>
      <c r="G17" s="247">
        <v>2652.4730586801552</v>
      </c>
      <c r="H17" s="294">
        <v>2341.2635849707735</v>
      </c>
      <c r="I17" s="309">
        <f t="shared" si="2"/>
        <v>-0.11732804323533319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9" t="s">
        <v>26</v>
      </c>
      <c r="D18" s="228">
        <v>130.00843026666664</v>
      </c>
      <c r="E18" s="294">
        <v>136.29234389447171</v>
      </c>
      <c r="F18" s="230">
        <f t="shared" si="1"/>
        <v>4.8334662720839194E-2</v>
      </c>
      <c r="G18" s="247">
        <v>1611.0638718</v>
      </c>
      <c r="H18" s="294">
        <v>1682.8052585784205</v>
      </c>
      <c r="I18" s="230">
        <f t="shared" si="2"/>
        <v>4.4530442296037309E-2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9" t="s">
        <v>27</v>
      </c>
      <c r="D19" s="228">
        <v>291.16840000166673</v>
      </c>
      <c r="E19" s="294">
        <v>309.25971850963759</v>
      </c>
      <c r="F19" s="230">
        <f t="shared" si="1"/>
        <v>6.213352310163911E-2</v>
      </c>
      <c r="G19" s="247">
        <v>3212.2827271000001</v>
      </c>
      <c r="H19" s="294">
        <v>2917.4947056410583</v>
      </c>
      <c r="I19" s="309">
        <f t="shared" si="2"/>
        <v>-9.1769014903950175E-2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9" t="s">
        <v>28</v>
      </c>
      <c r="D20" s="228">
        <v>63.797888082893941</v>
      </c>
      <c r="E20" s="294">
        <v>63.62209408898412</v>
      </c>
      <c r="F20" s="484">
        <f t="shared" si="1"/>
        <v>-2.7554829664800939E-3</v>
      </c>
      <c r="G20" s="247">
        <v>683.30052868937878</v>
      </c>
      <c r="H20" s="294">
        <v>743.73615700671849</v>
      </c>
      <c r="I20" s="230">
        <f t="shared" si="2"/>
        <v>8.8446628942699279E-2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9" t="s">
        <v>29</v>
      </c>
      <c r="D21" s="228">
        <v>5.3189742141666683</v>
      </c>
      <c r="E21" s="294">
        <v>5.4601953825861367</v>
      </c>
      <c r="F21" s="230">
        <f t="shared" si="1"/>
        <v>2.6550451785108731E-2</v>
      </c>
      <c r="G21" s="247">
        <v>62.033600200000016</v>
      </c>
      <c r="H21" s="294">
        <v>64.265399780579983</v>
      </c>
      <c r="I21" s="230">
        <f t="shared" si="2"/>
        <v>3.5977269953452851E-2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9" t="s">
        <v>30</v>
      </c>
      <c r="D22" s="228">
        <v>1822.3323446659222</v>
      </c>
      <c r="E22" s="294">
        <v>1812.2269889305835</v>
      </c>
      <c r="F22" s="230">
        <f t="shared" si="1"/>
        <v>-5.5452869312876407E-3</v>
      </c>
      <c r="G22" s="247">
        <v>20769.235084611417</v>
      </c>
      <c r="H22" s="294">
        <v>23444.561127704514</v>
      </c>
      <c r="I22" s="230">
        <f t="shared" si="2"/>
        <v>0.12881196790320559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9" t="s">
        <v>31</v>
      </c>
      <c r="D23" s="228">
        <v>56.56951973333333</v>
      </c>
      <c r="E23" s="294">
        <v>60.778284210363644</v>
      </c>
      <c r="F23" s="230">
        <f t="shared" si="1"/>
        <v>7.4399862273363482E-2</v>
      </c>
      <c r="G23" s="247">
        <v>915.17584893606772</v>
      </c>
      <c r="H23" s="294">
        <v>850.69329043786297</v>
      </c>
      <c r="I23" s="230">
        <f t="shared" si="2"/>
        <v>-7.04592003527722E-2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9" t="s">
        <v>32</v>
      </c>
      <c r="D24" s="228">
        <v>0.10159100000000001</v>
      </c>
      <c r="E24" s="325">
        <v>0.1618594693131245</v>
      </c>
      <c r="F24" s="230">
        <f t="shared" si="1"/>
        <v>0.59324614693353239</v>
      </c>
      <c r="G24" s="247">
        <v>2.0412190000000003</v>
      </c>
      <c r="H24" s="294">
        <v>2.0554405391824049</v>
      </c>
      <c r="I24" s="230">
        <f t="shared" si="2"/>
        <v>6.967179505189991E-3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9" t="s">
        <v>33</v>
      </c>
      <c r="D25" s="228">
        <v>53.308640193333332</v>
      </c>
      <c r="E25" s="294">
        <v>58.412371214859455</v>
      </c>
      <c r="F25" s="230">
        <f t="shared" si="1"/>
        <v>9.5739283594864277E-2</v>
      </c>
      <c r="G25" s="247">
        <v>721.59941399999991</v>
      </c>
      <c r="H25" s="294">
        <v>705.49905105151367</v>
      </c>
      <c r="I25" s="230">
        <f t="shared" si="2"/>
        <v>-2.231205103013878E-2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9" t="s">
        <v>34</v>
      </c>
      <c r="D26" s="228">
        <v>99.454313518875011</v>
      </c>
      <c r="E26" s="294">
        <v>103.40900907130973</v>
      </c>
      <c r="F26" s="230">
        <f t="shared" si="1"/>
        <v>3.9763941980094808E-2</v>
      </c>
      <c r="G26" s="247">
        <v>983.09168788750003</v>
      </c>
      <c r="H26" s="294">
        <v>956.20301511915693</v>
      </c>
      <c r="I26" s="230">
        <f t="shared" si="2"/>
        <v>-2.7351134283438383E-2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9" t="s">
        <v>35</v>
      </c>
      <c r="D27" s="228">
        <v>105.51873497583867</v>
      </c>
      <c r="E27" s="294">
        <v>106.30802823768794</v>
      </c>
      <c r="F27" s="230">
        <f t="shared" si="1"/>
        <v>7.4801243781967841E-3</v>
      </c>
      <c r="G27" s="247">
        <v>1307.3966799496782</v>
      </c>
      <c r="H27" s="294">
        <v>1429.9195143388506</v>
      </c>
      <c r="I27" s="230">
        <f t="shared" si="2"/>
        <v>9.3715118194952485E-2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9" t="s">
        <v>36</v>
      </c>
      <c r="D28" s="228">
        <v>104.83867818500003</v>
      </c>
      <c r="E28" s="294">
        <v>105.792189246688</v>
      </c>
      <c r="F28" s="230">
        <f t="shared" si="1"/>
        <v>9.0950313204576361E-3</v>
      </c>
      <c r="G28" s="247">
        <v>922.58728487250005</v>
      </c>
      <c r="H28" s="294">
        <v>981.61494406841905</v>
      </c>
      <c r="I28" s="230">
        <f t="shared" si="2"/>
        <v>6.398056873727298E-2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9" t="s">
        <v>37</v>
      </c>
      <c r="D29" s="228">
        <v>4.8683150000000008</v>
      </c>
      <c r="E29" s="325">
        <v>5.7822328796068208</v>
      </c>
      <c r="F29" s="230">
        <f t="shared" si="1"/>
        <v>0.18772776198886465</v>
      </c>
      <c r="G29" s="247">
        <v>52.465432999999997</v>
      </c>
      <c r="H29" s="294">
        <v>48.988803541397779</v>
      </c>
      <c r="I29" s="309">
        <f t="shared" si="2"/>
        <v>-6.6265143730010134E-2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9" t="s">
        <v>38</v>
      </c>
      <c r="D30" s="228">
        <v>13.59109844</v>
      </c>
      <c r="E30" s="294">
        <v>13.199870511563224</v>
      </c>
      <c r="F30" s="230">
        <f t="shared" si="1"/>
        <v>-2.8785600381301846E-2</v>
      </c>
      <c r="G30" s="247">
        <v>159.64892299999997</v>
      </c>
      <c r="H30" s="294">
        <v>151.56501132226407</v>
      </c>
      <c r="I30" s="230">
        <f t="shared" si="2"/>
        <v>-5.0635554101018942E-2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9" t="s">
        <v>39</v>
      </c>
      <c r="D31" s="228">
        <v>1.1005480000000003</v>
      </c>
      <c r="E31" s="294">
        <v>1.1744426862035853</v>
      </c>
      <c r="F31" s="230">
        <f>+E31/D31-1</f>
        <v>6.7143537768080019E-2</v>
      </c>
      <c r="G31" s="247">
        <v>15.866365000000004</v>
      </c>
      <c r="H31" s="294">
        <v>13.56907142951567</v>
      </c>
      <c r="I31" s="230">
        <f t="shared" si="2"/>
        <v>-0.14479016274265299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1" t="s">
        <v>40</v>
      </c>
      <c r="D32" s="221">
        <v>23.567627535833335</v>
      </c>
      <c r="E32" s="295">
        <v>22.302383546368095</v>
      </c>
      <c r="F32" s="231">
        <f t="shared" si="1"/>
        <v>-5.3685674875059153E-2</v>
      </c>
      <c r="G32" s="248">
        <v>393.314076</v>
      </c>
      <c r="H32" s="295">
        <v>373.39563345010407</v>
      </c>
      <c r="I32" s="231">
        <f t="shared" si="2"/>
        <v>-5.0642587604456724E-2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46" t="s">
        <v>108</v>
      </c>
      <c r="D33" s="112">
        <f>SUM(D8:D32)</f>
        <v>4841.485893270552</v>
      </c>
      <c r="E33" s="296">
        <f>SUM(E8:E32)</f>
        <v>4956.0852325262431</v>
      </c>
      <c r="F33" s="117">
        <f>+E33/D33-1</f>
        <v>2.3670282591338188E-2</v>
      </c>
      <c r="G33" s="249">
        <f>SUM(G8:G32)</f>
        <v>54893.157159376475</v>
      </c>
      <c r="H33" s="296">
        <f>SUM(H8:H32)</f>
        <v>56966.562627180072</v>
      </c>
      <c r="I33" s="250">
        <f>+H33/G33-1</f>
        <v>3.7771656342951543E-2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165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50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1812.2269889305835</v>
      </c>
      <c r="P44" s="8"/>
      <c r="Q44" s="9" t="s">
        <v>30</v>
      </c>
      <c r="R44" s="9">
        <v>1812.2269889305835</v>
      </c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892.09534185472387</v>
      </c>
      <c r="P45" s="8"/>
      <c r="Q45" s="9" t="s">
        <v>24</v>
      </c>
      <c r="R45" s="9">
        <v>892.09534185472387</v>
      </c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25</v>
      </c>
      <c r="O46" s="53">
        <v>324.67300198673558</v>
      </c>
      <c r="P46" s="8"/>
      <c r="Q46" s="9" t="s">
        <v>25</v>
      </c>
      <c r="R46" s="9">
        <v>324.67300198673558</v>
      </c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309.25971850963759</v>
      </c>
      <c r="P47" s="8"/>
      <c r="Q47" s="9" t="s">
        <v>27</v>
      </c>
      <c r="R47" s="9">
        <v>309.25971850963759</v>
      </c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18</v>
      </c>
      <c r="O48" s="53">
        <v>266.44304371283658</v>
      </c>
      <c r="P48" s="8"/>
      <c r="Q48" s="9" t="s">
        <v>18</v>
      </c>
      <c r="R48" s="9">
        <v>266.44304371283658</v>
      </c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60</v>
      </c>
      <c r="O49" s="53">
        <v>233.92722297523872</v>
      </c>
      <c r="P49" s="8"/>
      <c r="Q49" s="9" t="s">
        <v>60</v>
      </c>
      <c r="R49" s="9">
        <v>233.92722297523872</v>
      </c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23</v>
      </c>
      <c r="O50" s="52">
        <v>205.79416663752414</v>
      </c>
      <c r="P50" s="8"/>
      <c r="Q50" s="9" t="s">
        <v>23</v>
      </c>
      <c r="R50" s="9">
        <v>205.79416663752414</v>
      </c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26</v>
      </c>
      <c r="O51" s="53">
        <v>136.29234389447171</v>
      </c>
      <c r="P51" s="8"/>
      <c r="Q51" s="9" t="s">
        <v>26</v>
      </c>
      <c r="R51" s="9">
        <v>136.29234389447171</v>
      </c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22</v>
      </c>
      <c r="O52" s="53">
        <v>111.01630920858787</v>
      </c>
      <c r="P52" s="8"/>
      <c r="Q52" s="9" t="s">
        <v>22</v>
      </c>
      <c r="R52" s="9">
        <v>111.01630920858787</v>
      </c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106.55583249931423</v>
      </c>
      <c r="P53" s="8"/>
      <c r="Q53" s="9" t="s">
        <v>20</v>
      </c>
      <c r="R53" s="9">
        <v>106.55583249931423</v>
      </c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35</v>
      </c>
      <c r="O54" s="53">
        <v>106.30802823768794</v>
      </c>
      <c r="P54" s="8"/>
      <c r="Q54" s="9" t="s">
        <v>35</v>
      </c>
      <c r="R54" s="9">
        <v>106.30802823768794</v>
      </c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36</v>
      </c>
      <c r="O55" s="52">
        <v>105.792189246688</v>
      </c>
      <c r="P55" s="8"/>
      <c r="Q55" s="9" t="s">
        <v>36</v>
      </c>
      <c r="R55" s="9">
        <v>105.792189246688</v>
      </c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103.40900907130973</v>
      </c>
      <c r="P56" s="8"/>
      <c r="Q56" s="9" t="s">
        <v>34</v>
      </c>
      <c r="R56" s="9">
        <v>103.40900907130973</v>
      </c>
      <c r="S56" s="91"/>
    </row>
    <row r="57" spans="3:19">
      <c r="N57" s="51" t="s">
        <v>28</v>
      </c>
      <c r="O57" s="52">
        <v>63.62209408898412</v>
      </c>
      <c r="Q57" s="9" t="s">
        <v>28</v>
      </c>
      <c r="R57" s="9">
        <v>63.62209408898412</v>
      </c>
      <c r="S57" s="91"/>
    </row>
    <row r="58" spans="3:19">
      <c r="N58" s="51" t="s">
        <v>31</v>
      </c>
      <c r="O58" s="52">
        <v>60.778284210363644</v>
      </c>
      <c r="Q58" s="9" t="s">
        <v>31</v>
      </c>
      <c r="R58" s="9">
        <v>60.778284210363644</v>
      </c>
      <c r="S58" s="122"/>
    </row>
    <row r="59" spans="3:19">
      <c r="N59" s="51" t="s">
        <v>33</v>
      </c>
      <c r="O59" s="52">
        <v>58.412371214859455</v>
      </c>
      <c r="Q59" s="9" t="s">
        <v>33</v>
      </c>
      <c r="R59" s="9">
        <v>58.412371214859455</v>
      </c>
      <c r="S59" s="91"/>
    </row>
    <row r="60" spans="3:19">
      <c r="N60" s="51" t="s">
        <v>40</v>
      </c>
      <c r="O60" s="52">
        <v>22.302383546368095</v>
      </c>
      <c r="Q60" s="9" t="s">
        <v>40</v>
      </c>
      <c r="R60" s="9">
        <v>22.302383546368095</v>
      </c>
      <c r="S60" s="91"/>
    </row>
    <row r="61" spans="3:19">
      <c r="N61" s="51" t="s">
        <v>38</v>
      </c>
      <c r="O61" s="52">
        <v>13.199870511563224</v>
      </c>
      <c r="Q61" s="9" t="s">
        <v>38</v>
      </c>
      <c r="R61" s="9">
        <v>13.199870511563224</v>
      </c>
      <c r="S61" s="91"/>
    </row>
    <row r="62" spans="3:19">
      <c r="N62" s="51" t="s">
        <v>17</v>
      </c>
      <c r="O62" s="52">
        <v>5.9919543767300922</v>
      </c>
      <c r="Q62" s="9" t="s">
        <v>17</v>
      </c>
      <c r="R62" s="9">
        <v>5.9919543767300922</v>
      </c>
      <c r="S62" s="91"/>
    </row>
    <row r="63" spans="3:19">
      <c r="N63" s="50" t="s">
        <v>37</v>
      </c>
      <c r="O63" s="53">
        <v>5.7822328796068208</v>
      </c>
      <c r="Q63" s="9" t="s">
        <v>37</v>
      </c>
      <c r="R63" s="9">
        <v>5.7822328796068208</v>
      </c>
      <c r="S63" s="91"/>
    </row>
    <row r="64" spans="3:19">
      <c r="N64" s="50" t="s">
        <v>29</v>
      </c>
      <c r="O64" s="53">
        <v>5.4601953825861367</v>
      </c>
      <c r="Q64" s="9" t="s">
        <v>29</v>
      </c>
      <c r="R64" s="9">
        <v>5.4601953825861367</v>
      </c>
      <c r="S64" s="91"/>
    </row>
    <row r="65" spans="6:19">
      <c r="N65" s="50" t="s">
        <v>19</v>
      </c>
      <c r="O65" s="53">
        <v>4.599779382069455</v>
      </c>
      <c r="Q65" s="9" t="s">
        <v>19</v>
      </c>
      <c r="R65" s="9">
        <v>4.599779382069455</v>
      </c>
      <c r="S65" s="91"/>
    </row>
    <row r="66" spans="6:19">
      <c r="N66" s="50" t="s">
        <v>39</v>
      </c>
      <c r="O66" s="53">
        <v>1.1744426862035853</v>
      </c>
      <c r="Q66" s="9" t="s">
        <v>39</v>
      </c>
      <c r="R66" s="9">
        <v>1.1744426862035853</v>
      </c>
      <c r="S66" s="91"/>
    </row>
    <row r="67" spans="6:19">
      <c r="N67" s="51" t="s">
        <v>21</v>
      </c>
      <c r="O67" s="52">
        <v>0.80656801225739416</v>
      </c>
      <c r="Q67" s="9" t="s">
        <v>21</v>
      </c>
      <c r="R67" s="9">
        <v>0.80656801225739416</v>
      </c>
      <c r="S67" s="91"/>
    </row>
    <row r="68" spans="6:19">
      <c r="N68" s="9" t="s">
        <v>32</v>
      </c>
      <c r="O68" s="52">
        <v>0.1618594693131245</v>
      </c>
      <c r="Q68" s="9" t="s">
        <v>32</v>
      </c>
      <c r="R68" s="9">
        <v>0.1618594693131245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4"/>
  <sheetViews>
    <sheetView view="pageBreakPreview" zoomScaleNormal="120" zoomScaleSheetLayoutView="100" workbookViewId="0">
      <selection activeCell="M4" sqref="M4"/>
    </sheetView>
  </sheetViews>
  <sheetFormatPr baseColWidth="10" defaultColWidth="11.42578125" defaultRowHeight="12.75"/>
  <cols>
    <col min="1" max="1" width="5.28515625" style="1" customWidth="1"/>
    <col min="2" max="2" width="2.42578125" style="8" customWidth="1"/>
    <col min="3" max="3" width="15.42578125" style="9" customWidth="1"/>
    <col min="4" max="4" width="12.7109375" style="9" customWidth="1"/>
    <col min="5" max="6" width="9.7109375" style="9" customWidth="1"/>
    <col min="7" max="7" width="6.7109375" style="9" customWidth="1"/>
    <col min="8" max="9" width="11.7109375" style="9" customWidth="1"/>
    <col min="10" max="10" width="6.7109375" style="9" customWidth="1"/>
    <col min="11" max="11" width="7.5703125" style="9" customWidth="1"/>
    <col min="12" max="12" width="11.140625" style="1" customWidth="1"/>
    <col min="13" max="16" width="11.42578125" style="1"/>
    <col min="17" max="17" width="14.5703125" style="1" customWidth="1"/>
    <col min="18" max="18" width="12.42578125" style="1" customWidth="1"/>
    <col min="19" max="16384" width="11.42578125" style="1"/>
  </cols>
  <sheetData>
    <row r="2" spans="2:19" ht="15">
      <c r="B2" s="2" t="s">
        <v>168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149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120</v>
      </c>
    </row>
    <row r="8" spans="2:19">
      <c r="C8" s="131"/>
      <c r="D8" s="131"/>
      <c r="E8" s="131"/>
      <c r="F8" s="131"/>
      <c r="G8" s="131"/>
    </row>
    <row r="9" spans="2:19">
      <c r="C9" s="363" t="s">
        <v>63</v>
      </c>
      <c r="D9" s="364" t="s">
        <v>121</v>
      </c>
      <c r="E9" s="365" t="s">
        <v>122</v>
      </c>
      <c r="F9" s="366" t="s">
        <v>72</v>
      </c>
      <c r="G9" s="367" t="s">
        <v>73</v>
      </c>
    </row>
    <row r="10" spans="2:19" ht="13.5" thickBot="1">
      <c r="C10" s="368" t="s">
        <v>123</v>
      </c>
      <c r="D10" s="369"/>
      <c r="E10" s="370"/>
      <c r="F10" s="371"/>
      <c r="G10" s="372"/>
    </row>
    <row r="11" spans="2:19" ht="13.5" thickTop="1">
      <c r="C11" s="132"/>
      <c r="D11" s="133"/>
      <c r="E11" s="134"/>
      <c r="F11" s="135"/>
      <c r="G11" s="136"/>
      <c r="Q11" s="357" t="s">
        <v>126</v>
      </c>
      <c r="R11" s="146" t="s">
        <v>124</v>
      </c>
      <c r="S11" s="147">
        <f>E12</f>
        <v>2107.7981822357578</v>
      </c>
    </row>
    <row r="12" spans="2:19">
      <c r="C12" s="358" t="s">
        <v>133</v>
      </c>
      <c r="D12" s="138"/>
      <c r="E12" s="139">
        <v>2107.7981822357578</v>
      </c>
      <c r="F12" s="140">
        <f>SUM(D12:E12)</f>
        <v>2107.7981822357578</v>
      </c>
      <c r="G12" s="349">
        <f>(F12/F$16)</f>
        <v>0.51500000000000001</v>
      </c>
      <c r="Q12" s="357"/>
      <c r="R12" s="146"/>
      <c r="S12" s="147"/>
    </row>
    <row r="13" spans="2:19">
      <c r="C13" s="137"/>
      <c r="D13" s="138"/>
      <c r="E13" s="139"/>
      <c r="F13" s="140"/>
      <c r="G13" s="349"/>
      <c r="Q13" s="496" t="s">
        <v>127</v>
      </c>
      <c r="R13" s="146" t="s">
        <v>125</v>
      </c>
      <c r="S13" s="147">
        <f>D14</f>
        <v>1701.1568455444301</v>
      </c>
    </row>
    <row r="14" spans="2:19">
      <c r="C14" s="358" t="s">
        <v>134</v>
      </c>
      <c r="D14" s="138">
        <v>1701.1568455444301</v>
      </c>
      <c r="E14" s="139">
        <v>283.85697656108925</v>
      </c>
      <c r="F14" s="140">
        <f>SUM(D14:E14)</f>
        <v>1985.0138221055195</v>
      </c>
      <c r="G14" s="349">
        <f>(F14/F$16)</f>
        <v>0.48499999999999999</v>
      </c>
      <c r="Q14" s="496"/>
      <c r="R14" s="146" t="s">
        <v>124</v>
      </c>
      <c r="S14" s="147">
        <f>E14</f>
        <v>283.85697656108925</v>
      </c>
    </row>
    <row r="15" spans="2:19" ht="13.5" thickBot="1">
      <c r="C15" s="142"/>
      <c r="D15" s="143"/>
      <c r="E15" s="144"/>
      <c r="F15" s="145"/>
      <c r="G15" s="350"/>
      <c r="Q15" s="357"/>
      <c r="R15" s="146"/>
      <c r="S15" s="147">
        <f>SUM(S11:S14)</f>
        <v>4092.8120043412773</v>
      </c>
    </row>
    <row r="16" spans="2:19" ht="13.5" thickTop="1">
      <c r="C16" s="373" t="s">
        <v>72</v>
      </c>
      <c r="D16" s="374">
        <f>SUM(D12:D15)</f>
        <v>1701.1568455444301</v>
      </c>
      <c r="E16" s="375">
        <f>SUM(E12:E15)</f>
        <v>2391.655158796847</v>
      </c>
      <c r="F16" s="376">
        <f>SUM(F12:F15)</f>
        <v>4092.8120043412773</v>
      </c>
      <c r="G16" s="377"/>
    </row>
    <row r="17" spans="3:23">
      <c r="C17" s="378" t="s">
        <v>109</v>
      </c>
      <c r="D17" s="379">
        <f>D16/F16</f>
        <v>0.41564499999999999</v>
      </c>
      <c r="E17" s="380">
        <f>E16/F16</f>
        <v>0.58435499999999996</v>
      </c>
      <c r="F17" s="381"/>
      <c r="G17" s="382"/>
    </row>
    <row r="18" spans="3:23">
      <c r="C18" s="132"/>
      <c r="D18" s="132"/>
      <c r="E18" s="132"/>
      <c r="F18" s="132"/>
      <c r="G18" s="132"/>
    </row>
    <row r="19" spans="3:23">
      <c r="C19" s="1"/>
      <c r="D19" s="1"/>
      <c r="E19" s="1"/>
      <c r="F19" s="1"/>
      <c r="G19" s="1"/>
    </row>
    <row r="20" spans="3:23">
      <c r="C20" s="10" t="s">
        <v>170</v>
      </c>
      <c r="D20" s="1"/>
      <c r="E20" s="1"/>
      <c r="F20" s="1"/>
      <c r="G20" s="1"/>
    </row>
    <row r="21" spans="3:23">
      <c r="C21" s="10"/>
      <c r="D21" s="1"/>
      <c r="E21" s="1"/>
      <c r="F21" s="1"/>
      <c r="G21" s="1"/>
    </row>
    <row r="22" spans="3:23" ht="13.5" thickBot="1">
      <c r="C22" s="132"/>
      <c r="D22" s="132"/>
      <c r="E22" s="132"/>
      <c r="F22" s="132"/>
      <c r="G22" s="132"/>
    </row>
    <row r="23" spans="3:23" ht="12.75" customHeight="1">
      <c r="C23" s="549" t="s">
        <v>112</v>
      </c>
      <c r="D23" s="550"/>
      <c r="E23" s="497" t="s">
        <v>157</v>
      </c>
      <c r="F23" s="498"/>
      <c r="G23" s="151" t="s">
        <v>75</v>
      </c>
      <c r="H23" s="551" t="s">
        <v>158</v>
      </c>
      <c r="I23" s="498"/>
      <c r="J23" s="151" t="s">
        <v>75</v>
      </c>
      <c r="Q23" s="146"/>
      <c r="R23" s="146">
        <v>2019</v>
      </c>
      <c r="S23" s="146">
        <v>2020</v>
      </c>
      <c r="W23" s="361"/>
    </row>
    <row r="24" spans="3:23" ht="12.75" customHeight="1">
      <c r="C24" s="152"/>
      <c r="D24" s="153"/>
      <c r="E24" s="154">
        <v>2019</v>
      </c>
      <c r="F24" s="155">
        <v>2020</v>
      </c>
      <c r="G24" s="156"/>
      <c r="H24" s="239">
        <v>2018</v>
      </c>
      <c r="I24" s="155">
        <v>2019</v>
      </c>
      <c r="J24" s="156"/>
      <c r="Q24" s="146" t="s">
        <v>77</v>
      </c>
      <c r="R24" s="147">
        <f>E28</f>
        <v>31.949258002093995</v>
      </c>
      <c r="S24" s="147">
        <f>F28</f>
        <v>32.321980065344135</v>
      </c>
      <c r="V24" s="443">
        <f>S13-V25</f>
        <v>32.832327119007459</v>
      </c>
      <c r="W24" s="362"/>
    </row>
    <row r="25" spans="3:23">
      <c r="C25" s="530" t="s">
        <v>132</v>
      </c>
      <c r="D25" s="531"/>
      <c r="E25" s="383">
        <f>SUM(E27:E28)</f>
        <v>1655.4019690204188</v>
      </c>
      <c r="F25" s="384">
        <f>SUM(F27:F28)</f>
        <v>1701.1568455444303</v>
      </c>
      <c r="G25" s="385">
        <f>((F25/E25)-1)</f>
        <v>2.7639737888608851E-2</v>
      </c>
      <c r="H25" s="386">
        <f>SUM(H27:H28)</f>
        <v>19149.967832779999</v>
      </c>
      <c r="I25" s="384">
        <f>SUM(I27:I28)</f>
        <v>19201.849715116779</v>
      </c>
      <c r="J25" s="385">
        <f>((I25/H25)-1)</f>
        <v>2.7092412263989285E-3</v>
      </c>
      <c r="Q25" s="146" t="s">
        <v>0</v>
      </c>
      <c r="R25" s="147">
        <f>SUM(E27,E30)</f>
        <v>3957.6502110183251</v>
      </c>
      <c r="S25" s="147">
        <f>SUM(F27,F30)</f>
        <v>4060.4900242759363</v>
      </c>
      <c r="V25" s="146">
        <f>S13*0.9807</f>
        <v>1668.3245184254226</v>
      </c>
      <c r="W25" s="361"/>
    </row>
    <row r="26" spans="3:23" ht="12.75" customHeight="1">
      <c r="D26" s="359"/>
      <c r="E26" s="158"/>
      <c r="F26" s="159"/>
      <c r="G26" s="160"/>
      <c r="H26" s="241"/>
      <c r="I26" s="159"/>
      <c r="J26" s="160"/>
      <c r="W26" s="361"/>
    </row>
    <row r="27" spans="3:23" ht="12.75" customHeight="1">
      <c r="C27" s="543" t="s">
        <v>135</v>
      </c>
      <c r="D27" s="360" t="s">
        <v>0</v>
      </c>
      <c r="E27" s="158">
        <v>1623.4527110183249</v>
      </c>
      <c r="F27" s="159">
        <v>1668.8348654790861</v>
      </c>
      <c r="G27" s="285">
        <f t="shared" ref="G27:G32" si="0">((F27/E27)-1)</f>
        <v>2.7954096939660777E-2</v>
      </c>
      <c r="H27" s="241">
        <v>18763.907891917974</v>
      </c>
      <c r="I27" s="159">
        <v>18814.426129352036</v>
      </c>
      <c r="J27" s="347">
        <f t="shared" ref="J27:J32" si="1">((I27/H27)-1)</f>
        <v>2.6923089649049103E-3</v>
      </c>
    </row>
    <row r="28" spans="3:23">
      <c r="C28" s="544"/>
      <c r="D28" s="284" t="s">
        <v>77</v>
      </c>
      <c r="E28" s="158">
        <v>31.949258002093995</v>
      </c>
      <c r="F28" s="159">
        <v>32.321980065344135</v>
      </c>
      <c r="G28" s="285">
        <f t="shared" si="0"/>
        <v>1.1666063206404065E-2</v>
      </c>
      <c r="H28" s="241">
        <v>386.05994086202656</v>
      </c>
      <c r="I28" s="159">
        <v>387.42358576474339</v>
      </c>
      <c r="J28" s="347">
        <f t="shared" si="1"/>
        <v>3.5322103082542355E-3</v>
      </c>
    </row>
    <row r="29" spans="3:23">
      <c r="C29" s="530" t="s">
        <v>137</v>
      </c>
      <c r="D29" s="531"/>
      <c r="E29" s="383">
        <f>SUM(E30:E31)</f>
        <v>2334.1975000000002</v>
      </c>
      <c r="F29" s="384">
        <f>SUM(F30:F31)</f>
        <v>2391.6551587968502</v>
      </c>
      <c r="G29" s="385">
        <f>((F29/E29)-1)</f>
        <v>2.4615594351741876E-2</v>
      </c>
      <c r="H29" s="386">
        <f>SUM(H30:H31)</f>
        <v>26717.820009409999</v>
      </c>
      <c r="I29" s="384">
        <f>SUM(I30:I31)</f>
        <v>28304.829843793901</v>
      </c>
      <c r="J29" s="385">
        <f>((I29/H29)-1)</f>
        <v>5.9398926777145755E-2</v>
      </c>
      <c r="Q29" s="146"/>
      <c r="R29" s="146"/>
      <c r="S29" s="146"/>
    </row>
    <row r="30" spans="3:23" ht="12.75" customHeight="1">
      <c r="C30" s="552" t="s">
        <v>136</v>
      </c>
      <c r="D30" s="554" t="s">
        <v>0</v>
      </c>
      <c r="E30" s="541">
        <v>2334.1975000000002</v>
      </c>
      <c r="F30" s="545">
        <v>2391.6551587968502</v>
      </c>
      <c r="G30" s="547">
        <f>((F30/E30)-1)</f>
        <v>2.4615594351741876E-2</v>
      </c>
      <c r="H30" s="556">
        <v>26717.820009409999</v>
      </c>
      <c r="I30" s="537">
        <v>28304.829843793901</v>
      </c>
      <c r="J30" s="539">
        <f>((I30/H30)-1)</f>
        <v>5.9398926777145755E-2</v>
      </c>
    </row>
    <row r="31" spans="3:23" ht="13.5" thickBot="1">
      <c r="C31" s="553"/>
      <c r="D31" s="555"/>
      <c r="E31" s="542"/>
      <c r="F31" s="546"/>
      <c r="G31" s="548"/>
      <c r="H31" s="557"/>
      <c r="I31" s="538"/>
      <c r="J31" s="540"/>
    </row>
    <row r="32" spans="3:23" ht="14.25" thickTop="1" thickBot="1">
      <c r="C32" s="532" t="s">
        <v>108</v>
      </c>
      <c r="D32" s="533"/>
      <c r="E32" s="387">
        <f>SUM(E25,E29)</f>
        <v>3989.5994690204188</v>
      </c>
      <c r="F32" s="388">
        <f>SUM(F25,F29)</f>
        <v>4092.8120043412805</v>
      </c>
      <c r="G32" s="389">
        <f t="shared" si="0"/>
        <v>2.5870400305172403E-2</v>
      </c>
      <c r="H32" s="390">
        <f>SUM(H25,H29)</f>
        <v>45867.787842189995</v>
      </c>
      <c r="I32" s="388">
        <f>SUM(I25,I29)</f>
        <v>47506.679558910677</v>
      </c>
      <c r="J32" s="389">
        <f t="shared" si="1"/>
        <v>3.5730777389120227E-2</v>
      </c>
    </row>
    <row r="33" spans="3:20">
      <c r="C33" s="321"/>
      <c r="D33" s="165"/>
      <c r="E33" s="165"/>
      <c r="F33" s="166"/>
      <c r="G33" s="131"/>
      <c r="H33" s="165"/>
      <c r="I33" s="165"/>
      <c r="J33" s="131"/>
    </row>
    <row r="34" spans="3:20">
      <c r="C34" s="90"/>
      <c r="D34" s="91"/>
      <c r="E34" s="91"/>
      <c r="F34" s="92"/>
    </row>
    <row r="35" spans="3:20">
      <c r="C35" s="10" t="s">
        <v>169</v>
      </c>
      <c r="D35" s="1"/>
      <c r="E35" s="1"/>
      <c r="F35" s="1"/>
      <c r="G35" s="1"/>
    </row>
    <row r="36" spans="3:20">
      <c r="C36" s="10"/>
      <c r="D36" s="1"/>
      <c r="E36" s="1"/>
      <c r="F36" s="1"/>
      <c r="G36" s="1"/>
    </row>
    <row r="37" spans="3:20" ht="13.5" thickBot="1">
      <c r="C37" s="10"/>
      <c r="D37" s="1"/>
      <c r="E37" s="1"/>
      <c r="F37" s="1"/>
      <c r="G37" s="1"/>
    </row>
    <row r="38" spans="3:20" ht="12.75" customHeight="1">
      <c r="C38" s="149"/>
      <c r="D38" s="150"/>
      <c r="E38" s="497" t="s">
        <v>157</v>
      </c>
      <c r="F38" s="498"/>
      <c r="G38" s="499" t="s">
        <v>75</v>
      </c>
      <c r="H38" s="551" t="s">
        <v>158</v>
      </c>
      <c r="I38" s="498"/>
      <c r="J38" s="499" t="s">
        <v>75</v>
      </c>
      <c r="Q38" s="146"/>
      <c r="R38" s="146">
        <v>2019</v>
      </c>
      <c r="S38" s="146">
        <v>2020</v>
      </c>
    </row>
    <row r="39" spans="3:20" ht="12.75" customHeight="1">
      <c r="C39" s="152" t="s">
        <v>76</v>
      </c>
      <c r="D39" s="153"/>
      <c r="E39" s="154">
        <v>2019</v>
      </c>
      <c r="F39" s="155">
        <v>2020</v>
      </c>
      <c r="G39" s="500"/>
      <c r="H39" s="239">
        <v>2018</v>
      </c>
      <c r="I39" s="155">
        <v>2019</v>
      </c>
      <c r="J39" s="500"/>
      <c r="Q39" s="146" t="s">
        <v>131</v>
      </c>
      <c r="R39" s="147">
        <f t="shared" ref="R39:S42" si="2">SUM(E41,E46)</f>
        <v>1415.2524670000005</v>
      </c>
      <c r="S39" s="147">
        <f t="shared" si="2"/>
        <v>1496.1236527079363</v>
      </c>
      <c r="T39" s="460">
        <f t="shared" ref="T39:T42" si="3">((S39/R39)-1)</f>
        <v>5.7142585929818912E-2</v>
      </c>
    </row>
    <row r="40" spans="3:20">
      <c r="C40" s="530" t="s">
        <v>132</v>
      </c>
      <c r="D40" s="531"/>
      <c r="E40" s="383">
        <f>SUM(E41:E44)</f>
        <v>1655.4019690204186</v>
      </c>
      <c r="F40" s="384">
        <f>SUM(F41:F44)</f>
        <v>1701.1568455444299</v>
      </c>
      <c r="G40" s="385">
        <f>((F40/E40)-1)</f>
        <v>2.7639737888608851E-2</v>
      </c>
      <c r="H40" s="386">
        <f>SUM(H41:H44)</f>
        <v>19149.967832779908</v>
      </c>
      <c r="I40" s="384">
        <f>SUM(I41:I44)</f>
        <v>19201.849715116783</v>
      </c>
      <c r="J40" s="385">
        <f>((I40/H40)-1)</f>
        <v>2.7092412264038135E-3</v>
      </c>
      <c r="Q40" s="146" t="s">
        <v>130</v>
      </c>
      <c r="R40" s="147">
        <f t="shared" si="2"/>
        <v>230.07357299999998</v>
      </c>
      <c r="S40" s="147">
        <f t="shared" si="2"/>
        <v>209.80521727122451</v>
      </c>
      <c r="T40" s="460">
        <f t="shared" si="3"/>
        <v>-8.8095105685064845E-2</v>
      </c>
    </row>
    <row r="41" spans="3:20">
      <c r="C41" s="157" t="s">
        <v>131</v>
      </c>
      <c r="D41" s="132"/>
      <c r="E41" s="391">
        <v>0.16567799999999999</v>
      </c>
      <c r="F41" s="396">
        <v>0.14401000096580824</v>
      </c>
      <c r="G41" s="285">
        <f t="shared" ref="G41:G48" si="4">((F41/E41)-1)</f>
        <v>-0.13078380372887022</v>
      </c>
      <c r="H41" s="395">
        <v>1.9431009999999997</v>
      </c>
      <c r="I41" s="396">
        <v>1.9497714702803159</v>
      </c>
      <c r="J41" s="347">
        <f t="shared" ref="J41:J48" si="5">((I41/H41)-1)</f>
        <v>3.4328994119792178E-3</v>
      </c>
      <c r="Q41" s="146" t="s">
        <v>129</v>
      </c>
      <c r="R41" s="147">
        <f t="shared" si="2"/>
        <v>1087.7737203580855</v>
      </c>
      <c r="S41" s="147">
        <f t="shared" si="2"/>
        <v>1093.6999159256102</v>
      </c>
      <c r="T41" s="460">
        <f t="shared" si="3"/>
        <v>5.4480039888937792E-3</v>
      </c>
    </row>
    <row r="42" spans="3:20">
      <c r="C42" s="157" t="s">
        <v>130</v>
      </c>
      <c r="D42" s="132"/>
      <c r="E42" s="391">
        <v>3.1840230000000003</v>
      </c>
      <c r="F42" s="396">
        <v>2.4702525629926018</v>
      </c>
      <c r="G42" s="285">
        <f t="shared" si="4"/>
        <v>-0.22417251288932227</v>
      </c>
      <c r="H42" s="395">
        <v>20.1710013</v>
      </c>
      <c r="I42" s="396">
        <v>20.304564344727872</v>
      </c>
      <c r="J42" s="285">
        <f t="shared" si="5"/>
        <v>6.6215376590090802E-3</v>
      </c>
      <c r="Q42" s="146" t="s">
        <v>128</v>
      </c>
      <c r="R42" s="147">
        <f t="shared" si="2"/>
        <v>1256.499708662333</v>
      </c>
      <c r="S42" s="147">
        <f t="shared" si="2"/>
        <v>1293.1832184365055</v>
      </c>
      <c r="T42" s="460">
        <f t="shared" si="3"/>
        <v>2.9195000620593659E-2</v>
      </c>
    </row>
    <row r="43" spans="3:20">
      <c r="C43" s="157" t="s">
        <v>129</v>
      </c>
      <c r="D43" s="132"/>
      <c r="E43" s="158">
        <v>395.66685235808586</v>
      </c>
      <c r="F43" s="159">
        <v>405.44034180157917</v>
      </c>
      <c r="G43" s="285">
        <f t="shared" si="4"/>
        <v>2.4701309663029525E-2</v>
      </c>
      <c r="H43" s="241">
        <v>4891.8469216704507</v>
      </c>
      <c r="I43" s="159">
        <v>4901.0487433483622</v>
      </c>
      <c r="J43" s="347">
        <f t="shared" si="5"/>
        <v>1.8810526627781599E-3</v>
      </c>
    </row>
    <row r="44" spans="3:20">
      <c r="C44" s="157" t="s">
        <v>128</v>
      </c>
      <c r="D44" s="132"/>
      <c r="E44" s="158">
        <v>1256.3854156623329</v>
      </c>
      <c r="F44" s="159">
        <v>1293.1022411788922</v>
      </c>
      <c r="G44" s="456">
        <f t="shared" si="4"/>
        <v>2.9224173616503757E-2</v>
      </c>
      <c r="H44" s="241">
        <v>14236.006808809458</v>
      </c>
      <c r="I44" s="159">
        <v>14278.546635953411</v>
      </c>
      <c r="J44" s="347">
        <f t="shared" si="5"/>
        <v>2.9881853609137199E-3</v>
      </c>
      <c r="Q44" s="146"/>
      <c r="R44" s="146"/>
      <c r="S44"/>
    </row>
    <row r="45" spans="3:20">
      <c r="C45" s="530" t="s">
        <v>137</v>
      </c>
      <c r="D45" s="531"/>
      <c r="E45" s="383">
        <f>SUM(E46:E49)</f>
        <v>2334.1975000000002</v>
      </c>
      <c r="F45" s="384">
        <f>SUM(F46:F49)</f>
        <v>2391.655158796847</v>
      </c>
      <c r="G45" s="385">
        <f t="shared" si="4"/>
        <v>2.4615594351740544E-2</v>
      </c>
      <c r="H45" s="386">
        <f>SUM(H46:H49)</f>
        <v>26717.820009409996</v>
      </c>
      <c r="I45" s="384">
        <f>SUM(I46:I49)</f>
        <v>28304.829843793901</v>
      </c>
      <c r="J45" s="385">
        <f t="shared" si="5"/>
        <v>5.9398926777145755E-2</v>
      </c>
    </row>
    <row r="46" spans="3:20">
      <c r="C46" s="157" t="s">
        <v>131</v>
      </c>
      <c r="D46" s="132"/>
      <c r="E46" s="158">
        <v>1415.0867890000004</v>
      </c>
      <c r="F46" s="159">
        <v>1495.9796427069705</v>
      </c>
      <c r="G46" s="458">
        <f t="shared" si="4"/>
        <v>5.7164588303544761E-2</v>
      </c>
      <c r="H46" s="399">
        <v>16678.655018199999</v>
      </c>
      <c r="I46" s="159">
        <v>17717.83291354643</v>
      </c>
      <c r="J46" s="160">
        <f t="shared" si="5"/>
        <v>6.2305857049771873E-2</v>
      </c>
    </row>
    <row r="47" spans="3:20">
      <c r="C47" s="157" t="s">
        <v>130</v>
      </c>
      <c r="D47" s="392"/>
      <c r="E47" s="165">
        <v>226.88954999999999</v>
      </c>
      <c r="F47" s="397">
        <v>207.33496470823189</v>
      </c>
      <c r="G47" s="459">
        <f t="shared" si="4"/>
        <v>-8.6185482283199444E-2</v>
      </c>
      <c r="H47" s="165">
        <v>2022.9179628000002</v>
      </c>
      <c r="I47" s="397">
        <v>2134.0607472166407</v>
      </c>
      <c r="J47" s="160">
        <f t="shared" si="5"/>
        <v>5.4941814972468528E-2</v>
      </c>
    </row>
    <row r="48" spans="3:20">
      <c r="C48" s="157" t="s">
        <v>129</v>
      </c>
      <c r="D48" s="392"/>
      <c r="E48" s="165">
        <v>692.10686799999974</v>
      </c>
      <c r="F48" s="397">
        <v>688.25957412403113</v>
      </c>
      <c r="G48" s="459">
        <f t="shared" si="4"/>
        <v>-5.558814763804043E-3</v>
      </c>
      <c r="H48" s="165">
        <v>8014.9590467099979</v>
      </c>
      <c r="I48" s="397">
        <v>8451.3183413839124</v>
      </c>
      <c r="J48" s="160">
        <f t="shared" si="5"/>
        <v>5.4443109706596937E-2</v>
      </c>
      <c r="Q48" s="266"/>
    </row>
    <row r="49" spans="3:22" ht="13.5" thickBot="1">
      <c r="C49" s="157" t="s">
        <v>128</v>
      </c>
      <c r="D49" s="132"/>
      <c r="E49" s="393">
        <v>0.11429300000000001</v>
      </c>
      <c r="F49" s="398">
        <v>8.0977257613333617E-2</v>
      </c>
      <c r="G49" s="310">
        <f>((F49/E49)-1)</f>
        <v>-0.29149416313043131</v>
      </c>
      <c r="H49" s="242">
        <v>1.2879817</v>
      </c>
      <c r="I49" s="163">
        <v>1.6178416469174646</v>
      </c>
      <c r="J49" s="164">
        <f>((I49/H49)-1)</f>
        <v>0.25610608203320329</v>
      </c>
      <c r="S49"/>
    </row>
    <row r="50" spans="3:22" ht="14.25" thickTop="1" thickBot="1">
      <c r="C50" s="532" t="s">
        <v>108</v>
      </c>
      <c r="D50" s="533"/>
      <c r="E50" s="387">
        <f>SUM(E40,E45)</f>
        <v>3989.5994690204188</v>
      </c>
      <c r="F50" s="388">
        <f>SUM(F40,F45)</f>
        <v>4092.8120043412769</v>
      </c>
      <c r="G50" s="389">
        <f>((F50/E50)-1)</f>
        <v>2.5870400305171515E-2</v>
      </c>
      <c r="H50" s="390">
        <f>SUM(H40,H45)</f>
        <v>45867.787842189908</v>
      </c>
      <c r="I50" s="388">
        <f>SUM(I40,I45)</f>
        <v>47506.679558910684</v>
      </c>
      <c r="J50" s="389">
        <f>((I50/H50)-1)</f>
        <v>3.5730777389122226E-2</v>
      </c>
    </row>
    <row r="51" spans="3:22">
      <c r="D51" s="1"/>
      <c r="E51" s="1"/>
      <c r="F51" s="1"/>
      <c r="G51" s="1"/>
    </row>
    <row r="52" spans="3:22">
      <c r="C52" s="10" t="s">
        <v>138</v>
      </c>
      <c r="D52" s="1"/>
      <c r="E52" s="1"/>
      <c r="F52" s="1"/>
      <c r="G52" s="1"/>
      <c r="I52" s="91"/>
      <c r="M52" s="266"/>
    </row>
    <row r="53" spans="3:22">
      <c r="C53" s="10"/>
      <c r="D53" s="1"/>
      <c r="E53" s="1"/>
      <c r="F53" s="1"/>
      <c r="G53" s="1"/>
      <c r="H53" s="480"/>
      <c r="M53" s="266"/>
    </row>
    <row r="54" spans="3:22" ht="13.5" thickBot="1">
      <c r="C54" s="10"/>
      <c r="D54" s="1"/>
      <c r="E54" s="1"/>
      <c r="F54" s="1"/>
      <c r="G54" s="1"/>
      <c r="L54" s="266"/>
      <c r="M54" s="266"/>
      <c r="Q54" s="266"/>
    </row>
    <row r="55" spans="3:22" ht="12.75" customHeight="1">
      <c r="C55" s="526" t="s">
        <v>61</v>
      </c>
      <c r="D55" s="524" t="s">
        <v>44</v>
      </c>
      <c r="E55" s="534" t="s">
        <v>157</v>
      </c>
      <c r="F55" s="535"/>
      <c r="G55" s="528" t="s">
        <v>75</v>
      </c>
      <c r="H55" s="536" t="s">
        <v>158</v>
      </c>
      <c r="I55" s="535"/>
      <c r="J55" s="528" t="s">
        <v>75</v>
      </c>
      <c r="L55" s="266"/>
      <c r="M55" s="266"/>
    </row>
    <row r="56" spans="3:22" ht="12.75" customHeight="1">
      <c r="C56" s="527"/>
      <c r="D56" s="525"/>
      <c r="E56" s="400">
        <v>2019</v>
      </c>
      <c r="F56" s="401">
        <v>2020</v>
      </c>
      <c r="G56" s="529"/>
      <c r="H56" s="402">
        <v>2018</v>
      </c>
      <c r="I56" s="401">
        <v>2019</v>
      </c>
      <c r="J56" s="529"/>
      <c r="L56" s="266"/>
      <c r="M56" s="266"/>
    </row>
    <row r="57" spans="3:22">
      <c r="C57" s="446" t="s">
        <v>17</v>
      </c>
      <c r="D57" s="447" t="s">
        <v>10</v>
      </c>
      <c r="E57" s="412">
        <v>7.4503820151439752</v>
      </c>
      <c r="F57" s="413">
        <v>7.4181786551283437</v>
      </c>
      <c r="G57" s="414">
        <f>+F57/E57-1</f>
        <v>-4.3223770204230405E-3</v>
      </c>
      <c r="H57" s="415">
        <v>84.485806351570005</v>
      </c>
      <c r="I57" s="413">
        <v>83.464370844418625</v>
      </c>
      <c r="J57" s="414">
        <f>+I57/H57-1</f>
        <v>-1.2090024955208389E-2</v>
      </c>
    </row>
    <row r="58" spans="3:22">
      <c r="C58" s="448" t="s">
        <v>18</v>
      </c>
      <c r="D58" s="422" t="s">
        <v>9</v>
      </c>
      <c r="E58" s="416">
        <v>174.7718310793133</v>
      </c>
      <c r="F58" s="417">
        <v>177.85634750474608</v>
      </c>
      <c r="G58" s="420">
        <f t="shared" ref="G58:G81" si="6">+F58/E58-1</f>
        <v>1.7648819071037769E-2</v>
      </c>
      <c r="H58" s="419">
        <v>2024.7049051056699</v>
      </c>
      <c r="I58" s="417">
        <v>2099.2102354514</v>
      </c>
      <c r="J58" s="420">
        <f t="shared" ref="J58:J81" si="7">+I58/H58-1</f>
        <v>3.6798118164208082E-2</v>
      </c>
      <c r="L58" s="266"/>
      <c r="Q58" s="457"/>
    </row>
    <row r="59" spans="3:22">
      <c r="C59" s="449" t="s">
        <v>19</v>
      </c>
      <c r="D59" s="422" t="s">
        <v>12</v>
      </c>
      <c r="E59" s="416">
        <v>118.07165882329895</v>
      </c>
      <c r="F59" s="417">
        <v>115.6548779182683</v>
      </c>
      <c r="G59" s="418">
        <f t="shared" si="6"/>
        <v>-2.0468763877091845E-2</v>
      </c>
      <c r="H59" s="419">
        <v>1304.7923515</v>
      </c>
      <c r="I59" s="417">
        <v>1379.0713755090221</v>
      </c>
      <c r="J59" s="418">
        <f t="shared" si="7"/>
        <v>5.6927850568429861E-2</v>
      </c>
      <c r="L59" s="266"/>
      <c r="M59" s="266"/>
      <c r="S59" s="146">
        <v>2019</v>
      </c>
      <c r="T59" s="146">
        <v>2020</v>
      </c>
      <c r="U59" s="146"/>
      <c r="V59" s="146"/>
    </row>
    <row r="60" spans="3:22">
      <c r="C60" s="448" t="s">
        <v>20</v>
      </c>
      <c r="D60" s="422" t="s">
        <v>12</v>
      </c>
      <c r="E60" s="416">
        <v>451.8178336351059</v>
      </c>
      <c r="F60" s="417">
        <v>467.29403566766649</v>
      </c>
      <c r="G60" s="420">
        <f t="shared" si="6"/>
        <v>3.4253189848764132E-2</v>
      </c>
      <c r="H60" s="419">
        <v>5419.5965969000099</v>
      </c>
      <c r="I60" s="417">
        <v>5567.5636148490266</v>
      </c>
      <c r="J60" s="418">
        <f t="shared" si="7"/>
        <v>2.7302219879917544E-2</v>
      </c>
      <c r="R60" s="146" t="s">
        <v>139</v>
      </c>
      <c r="S60" s="147">
        <f>E71</f>
        <v>1556.3533892149876</v>
      </c>
      <c r="T60" s="147">
        <f>F71</f>
        <v>1617.1423428366147</v>
      </c>
      <c r="U60" s="148">
        <f>S60/S$62</f>
        <v>0.39010266601953325</v>
      </c>
      <c r="V60" s="148">
        <f>T60/T$62</f>
        <v>0.39511766998369269</v>
      </c>
    </row>
    <row r="61" spans="3:22">
      <c r="C61" s="448" t="s">
        <v>21</v>
      </c>
      <c r="D61" s="422" t="s">
        <v>12</v>
      </c>
      <c r="E61" s="416">
        <v>13.049582298538757</v>
      </c>
      <c r="F61" s="417">
        <v>12.97125299028292</v>
      </c>
      <c r="G61" s="418">
        <f t="shared" si="6"/>
        <v>-6.002437968041896E-3</v>
      </c>
      <c r="H61" s="419">
        <v>151.56651830639998</v>
      </c>
      <c r="I61" s="417">
        <v>173.70400836819263</v>
      </c>
      <c r="J61" s="418">
        <f t="shared" si="7"/>
        <v>0.14605791773246724</v>
      </c>
      <c r="R61" s="146" t="s">
        <v>141</v>
      </c>
      <c r="S61" s="147">
        <f>E82-S60</f>
        <v>2433.2460798054517</v>
      </c>
      <c r="T61" s="147">
        <f>F82-T60</f>
        <v>2475.6696615046681</v>
      </c>
      <c r="U61" s="148">
        <f>S61/S$62</f>
        <v>0.60989733398046675</v>
      </c>
      <c r="V61" s="148">
        <f>T61/T$62</f>
        <v>0.60488233001630731</v>
      </c>
    </row>
    <row r="62" spans="3:22">
      <c r="C62" s="448" t="s">
        <v>22</v>
      </c>
      <c r="D62" s="422" t="s">
        <v>10</v>
      </c>
      <c r="E62" s="416">
        <v>89.348828411883872</v>
      </c>
      <c r="F62" s="417">
        <v>91.437226748305633</v>
      </c>
      <c r="G62" s="418">
        <f t="shared" si="6"/>
        <v>2.3373539122355069E-2</v>
      </c>
      <c r="H62" s="419">
        <v>1012.7487244927099</v>
      </c>
      <c r="I62" s="417">
        <v>1061.0498159127583</v>
      </c>
      <c r="J62" s="418">
        <f t="shared" si="7"/>
        <v>4.7693065665664003E-2</v>
      </c>
      <c r="S62" s="147">
        <f>SUM(S60:S61)</f>
        <v>3989.5994690204393</v>
      </c>
      <c r="T62" s="147">
        <f>SUM(T60:T61)</f>
        <v>4092.8120043412828</v>
      </c>
    </row>
    <row r="63" spans="3:22">
      <c r="C63" s="448" t="s">
        <v>60</v>
      </c>
      <c r="D63" s="422" t="s">
        <v>9</v>
      </c>
      <c r="E63" s="416">
        <v>165.68261319206047</v>
      </c>
      <c r="F63" s="417">
        <v>170.63955838424428</v>
      </c>
      <c r="G63" s="418">
        <f t="shared" si="6"/>
        <v>2.9918318504776886E-2</v>
      </c>
      <c r="H63" s="419">
        <v>1795.15012829999</v>
      </c>
      <c r="I63" s="417">
        <v>1960.1962699988678</v>
      </c>
      <c r="J63" s="418">
        <f t="shared" si="7"/>
        <v>9.1940021671155003E-2</v>
      </c>
    </row>
    <row r="64" spans="3:22">
      <c r="C64" s="448" t="s">
        <v>23</v>
      </c>
      <c r="D64" s="422" t="s">
        <v>12</v>
      </c>
      <c r="E64" s="416">
        <v>199.19090795944712</v>
      </c>
      <c r="F64" s="417">
        <v>201.51253981057067</v>
      </c>
      <c r="G64" s="418">
        <f t="shared" si="6"/>
        <v>1.1655310349788728E-2</v>
      </c>
      <c r="H64" s="419">
        <v>2295.9459004</v>
      </c>
      <c r="I64" s="417">
        <v>2338.7725716403079</v>
      </c>
      <c r="J64" s="420">
        <f t="shared" si="7"/>
        <v>1.865317089259233E-2</v>
      </c>
    </row>
    <row r="65" spans="3:23">
      <c r="C65" s="448" t="s">
        <v>24</v>
      </c>
      <c r="D65" s="422" t="s">
        <v>9</v>
      </c>
      <c r="E65" s="416">
        <v>9.1564128426946958</v>
      </c>
      <c r="F65" s="417">
        <v>9.9632974935621412</v>
      </c>
      <c r="G65" s="418">
        <f t="shared" si="6"/>
        <v>8.8122353669451092E-2</v>
      </c>
      <c r="H65" s="419">
        <v>124.87886391658</v>
      </c>
      <c r="I65" s="417">
        <v>169.8123833375285</v>
      </c>
      <c r="J65" s="420">
        <f t="shared" si="7"/>
        <v>0.35981684979905348</v>
      </c>
    </row>
    <row r="66" spans="3:23">
      <c r="C66" s="448" t="s">
        <v>25</v>
      </c>
      <c r="D66" s="422" t="s">
        <v>9</v>
      </c>
      <c r="E66" s="416">
        <v>14.40760761255841</v>
      </c>
      <c r="F66" s="417">
        <v>14.851457468167748</v>
      </c>
      <c r="G66" s="418">
        <f t="shared" si="6"/>
        <v>3.0806631298207821E-2</v>
      </c>
      <c r="H66" s="419">
        <v>173.27426836060999</v>
      </c>
      <c r="I66" s="417">
        <v>206.18320529136767</v>
      </c>
      <c r="J66" s="420">
        <f t="shared" si="7"/>
        <v>0.18992396991265426</v>
      </c>
    </row>
    <row r="67" spans="3:23">
      <c r="C67" s="448" t="s">
        <v>26</v>
      </c>
      <c r="D67" s="422" t="s">
        <v>12</v>
      </c>
      <c r="E67" s="416">
        <v>240.72461157798926</v>
      </c>
      <c r="F67" s="417">
        <v>241.47008647593586</v>
      </c>
      <c r="G67" s="418">
        <f t="shared" si="6"/>
        <v>3.096795516918105E-3</v>
      </c>
      <c r="H67" s="419">
        <v>2699.6597489000096</v>
      </c>
      <c r="I67" s="417">
        <v>2779.1936113100965</v>
      </c>
      <c r="J67" s="418">
        <f t="shared" si="7"/>
        <v>2.9460698683414943E-2</v>
      </c>
    </row>
    <row r="68" spans="3:23">
      <c r="C68" s="448" t="s">
        <v>27</v>
      </c>
      <c r="D68" s="422" t="s">
        <v>9</v>
      </c>
      <c r="E68" s="416">
        <v>137.30101766025078</v>
      </c>
      <c r="F68" s="417">
        <v>132.35860922611175</v>
      </c>
      <c r="G68" s="418">
        <f t="shared" si="6"/>
        <v>-3.5996881293108407E-2</v>
      </c>
      <c r="H68" s="419">
        <v>1589.6652853210999</v>
      </c>
      <c r="I68" s="417">
        <v>1818.3414920905698</v>
      </c>
      <c r="J68" s="420">
        <f t="shared" si="7"/>
        <v>0.1438517962750121</v>
      </c>
      <c r="Q68" s="146"/>
      <c r="R68" s="146"/>
      <c r="T68" s="146"/>
      <c r="U68" s="146"/>
      <c r="V68" s="146"/>
      <c r="W68" s="146"/>
    </row>
    <row r="69" spans="3:23">
      <c r="C69" s="448" t="s">
        <v>28</v>
      </c>
      <c r="D69" s="422" t="s">
        <v>10</v>
      </c>
      <c r="E69" s="416">
        <v>151.71434225063317</v>
      </c>
      <c r="F69" s="417">
        <v>149.42173284399118</v>
      </c>
      <c r="G69" s="418">
        <f t="shared" si="6"/>
        <v>-1.5111355806127991E-2</v>
      </c>
      <c r="H69" s="419">
        <v>1707.75902861393</v>
      </c>
      <c r="I69" s="417">
        <v>1779.4266069376515</v>
      </c>
      <c r="J69" s="418">
        <f t="shared" si="7"/>
        <v>4.1965861180010444E-2</v>
      </c>
      <c r="Q69" s="423"/>
      <c r="R69" s="146"/>
      <c r="T69" s="147"/>
      <c r="U69" s="147"/>
      <c r="V69" s="148"/>
      <c r="W69" s="148"/>
    </row>
    <row r="70" spans="3:23">
      <c r="C70" s="448" t="s">
        <v>29</v>
      </c>
      <c r="D70" s="422" t="s">
        <v>10</v>
      </c>
      <c r="E70" s="416">
        <v>72.412962760120323</v>
      </c>
      <c r="F70" s="417">
        <v>74.653224556193592</v>
      </c>
      <c r="G70" s="418">
        <f t="shared" si="6"/>
        <v>3.093730335954481E-2</v>
      </c>
      <c r="H70" s="419">
        <v>808.56203496772002</v>
      </c>
      <c r="I70" s="417">
        <v>821.28828824595598</v>
      </c>
      <c r="J70" s="418">
        <f t="shared" si="7"/>
        <v>1.5739365352151369E-2</v>
      </c>
      <c r="Q70" s="423"/>
      <c r="R70" s="146"/>
      <c r="S70" s="146">
        <v>2019</v>
      </c>
      <c r="T70" s="146">
        <v>2020</v>
      </c>
      <c r="U70" s="147"/>
      <c r="V70" s="148"/>
      <c r="W70" s="148"/>
    </row>
    <row r="71" spans="3:23">
      <c r="C71" s="448" t="s">
        <v>30</v>
      </c>
      <c r="D71" s="422" t="s">
        <v>9</v>
      </c>
      <c r="E71" s="416">
        <v>1556.3533892149876</v>
      </c>
      <c r="F71" s="417">
        <v>1617.1423428366147</v>
      </c>
      <c r="G71" s="418">
        <f t="shared" si="6"/>
        <v>3.9058580167508516E-2</v>
      </c>
      <c r="H71" s="419">
        <v>17811.811093489199</v>
      </c>
      <c r="I71" s="417">
        <v>18432.897254733565</v>
      </c>
      <c r="J71" s="418">
        <f t="shared" si="7"/>
        <v>3.4869343604895686E-2</v>
      </c>
      <c r="Q71" s="423"/>
      <c r="R71" s="146" t="s">
        <v>9</v>
      </c>
      <c r="S71" s="238">
        <f>SUM(E58,E63,E65,E66,E68,E71,E75,E81)</f>
        <v>2181.6042283471602</v>
      </c>
      <c r="T71" s="238">
        <f>SUM(F58,F63,F65,F66,F68,F71,F75,F81)</f>
        <v>2246.1862634393933</v>
      </c>
      <c r="U71" s="148">
        <f>S71/S$75</f>
        <v>0.5468228691344813</v>
      </c>
      <c r="V71" s="148">
        <f>T71/T$75</f>
        <v>0.54881246953362206</v>
      </c>
      <c r="W71" s="148"/>
    </row>
    <row r="72" spans="3:23">
      <c r="C72" s="448" t="s">
        <v>31</v>
      </c>
      <c r="D72" s="422" t="s">
        <v>11</v>
      </c>
      <c r="E72" s="416">
        <v>30.031270097076039</v>
      </c>
      <c r="F72" s="417">
        <v>31.238202144406017</v>
      </c>
      <c r="G72" s="418">
        <f t="shared" si="6"/>
        <v>4.0189177594839309E-2</v>
      </c>
      <c r="H72" s="419">
        <v>355.84516029999997</v>
      </c>
      <c r="I72" s="417">
        <v>367.88620510289496</v>
      </c>
      <c r="J72" s="418">
        <f t="shared" si="7"/>
        <v>3.3837877105715286E-2</v>
      </c>
      <c r="Q72" s="423"/>
      <c r="R72" s="146" t="s">
        <v>12</v>
      </c>
      <c r="S72" s="238">
        <f>SUM(E59:E61,E64,E67,E73:E74,E77,E79)</f>
        <v>1270.6865801477898</v>
      </c>
      <c r="T72" s="238">
        <f>SUM(F59:F61,F64,F67,F73:F74,F77,F79)</f>
        <v>1294.446387216411</v>
      </c>
      <c r="U72" s="148">
        <f t="shared" ref="U72:U74" si="8">S72/S$75</f>
        <v>0.31849978676174717</v>
      </c>
      <c r="V72" s="148">
        <f t="shared" ref="V72:V74" si="9">T72/T$75</f>
        <v>0.3162731114557375</v>
      </c>
      <c r="W72" s="148"/>
    </row>
    <row r="73" spans="3:23">
      <c r="C73" s="448" t="s">
        <v>32</v>
      </c>
      <c r="D73" s="422" t="s">
        <v>12</v>
      </c>
      <c r="E73" s="416">
        <v>7.8111154514239116</v>
      </c>
      <c r="F73" s="421">
        <v>8.1432312290467461</v>
      </c>
      <c r="G73" s="418">
        <f t="shared" si="6"/>
        <v>4.2518354732843155E-2</v>
      </c>
      <c r="H73" s="419">
        <v>94.206147299999998</v>
      </c>
      <c r="I73" s="417">
        <v>94.783224754680191</v>
      </c>
      <c r="J73" s="418">
        <f t="shared" si="7"/>
        <v>6.1256878793958247E-3</v>
      </c>
      <c r="Q73" s="146"/>
      <c r="R73" s="146" t="s">
        <v>10</v>
      </c>
      <c r="S73" s="238">
        <f>SUM(E57,E62,E69:E70,E76,E78,E80)</f>
        <v>507.2773904284137</v>
      </c>
      <c r="T73" s="238">
        <f>SUM(F57,F62,F69:F70,F76,F78,F80)</f>
        <v>520.94115154107294</v>
      </c>
      <c r="U73" s="148">
        <f t="shared" si="8"/>
        <v>0.12714995436696425</v>
      </c>
      <c r="V73" s="148">
        <f t="shared" si="9"/>
        <v>0.1272819643288052</v>
      </c>
      <c r="W73" s="146"/>
    </row>
    <row r="74" spans="3:23">
      <c r="C74" s="448" t="s">
        <v>33</v>
      </c>
      <c r="D74" s="422" t="s">
        <v>12</v>
      </c>
      <c r="E74" s="416">
        <v>164.57709335001306</v>
      </c>
      <c r="F74" s="417">
        <v>170.81382229421814</v>
      </c>
      <c r="G74" s="418">
        <f t="shared" si="6"/>
        <v>3.7895486043985294E-2</v>
      </c>
      <c r="H74" s="419">
        <v>1997.61720329999</v>
      </c>
      <c r="I74" s="417">
        <v>2031.4307442089548</v>
      </c>
      <c r="J74" s="418">
        <f t="shared" si="7"/>
        <v>1.6926937179508661E-2</v>
      </c>
      <c r="Q74" s="146"/>
      <c r="R74" s="146" t="s">
        <v>11</v>
      </c>
      <c r="S74" s="238">
        <f>SUM(E72)</f>
        <v>30.031270097076039</v>
      </c>
      <c r="T74" s="238">
        <f>SUM(F72)</f>
        <v>31.238202144406017</v>
      </c>
      <c r="U74" s="148">
        <f t="shared" si="8"/>
        <v>7.5273897368072313E-3</v>
      </c>
      <c r="V74" s="148">
        <f t="shared" si="9"/>
        <v>7.6324546818352197E-3</v>
      </c>
      <c r="W74" s="146"/>
    </row>
    <row r="75" spans="3:23">
      <c r="C75" s="448" t="s">
        <v>34</v>
      </c>
      <c r="D75" s="422" t="s">
        <v>9</v>
      </c>
      <c r="E75" s="416">
        <v>97.258222559643727</v>
      </c>
      <c r="F75" s="417">
        <v>96.296970775728511</v>
      </c>
      <c r="G75" s="418">
        <f t="shared" si="6"/>
        <v>-9.8835014522883347E-3</v>
      </c>
      <c r="H75" s="419">
        <v>1145.9471207005499</v>
      </c>
      <c r="I75" s="417">
        <v>1015.8200001643618</v>
      </c>
      <c r="J75" s="418">
        <f t="shared" si="7"/>
        <v>-0.11355421047407299</v>
      </c>
      <c r="Q75" s="146"/>
      <c r="S75" s="238">
        <f>SUM(S71:S74)</f>
        <v>3989.5994690204398</v>
      </c>
      <c r="T75" s="238">
        <f>SUM(T71:T74)</f>
        <v>4092.8120043412832</v>
      </c>
      <c r="U75" s="147"/>
      <c r="V75" s="146"/>
      <c r="W75" s="146"/>
    </row>
    <row r="76" spans="3:23">
      <c r="C76" s="448" t="s">
        <v>35</v>
      </c>
      <c r="D76" s="422" t="s">
        <v>10</v>
      </c>
      <c r="E76" s="416">
        <v>136.25029301150028</v>
      </c>
      <c r="F76" s="417">
        <v>146.44120177561823</v>
      </c>
      <c r="G76" s="418">
        <f t="shared" si="6"/>
        <v>7.4795499803129051E-2</v>
      </c>
      <c r="H76" s="419">
        <v>1528.1162266538799</v>
      </c>
      <c r="I76" s="417">
        <v>1519.1848332422135</v>
      </c>
      <c r="J76" s="418">
        <f t="shared" si="7"/>
        <v>-5.8447081811463519E-3</v>
      </c>
    </row>
    <row r="77" spans="3:23">
      <c r="C77" s="448" t="s">
        <v>36</v>
      </c>
      <c r="D77" s="422" t="s">
        <v>12</v>
      </c>
      <c r="E77" s="416">
        <v>48.191791221788741</v>
      </c>
      <c r="F77" s="417">
        <v>48.764614238847642</v>
      </c>
      <c r="G77" s="418">
        <f t="shared" si="6"/>
        <v>1.188631927837358E-2</v>
      </c>
      <c r="H77" s="419">
        <v>560.52184741000008</v>
      </c>
      <c r="I77" s="417">
        <v>583.74227145783163</v>
      </c>
      <c r="J77" s="418">
        <f t="shared" si="7"/>
        <v>4.1426438871430271E-2</v>
      </c>
    </row>
    <row r="78" spans="3:23">
      <c r="C78" s="448" t="s">
        <v>37</v>
      </c>
      <c r="D78" s="422" t="s">
        <v>10</v>
      </c>
      <c r="E78" s="416">
        <v>29.509217830260933</v>
      </c>
      <c r="F78" s="417">
        <v>30.238070443507905</v>
      </c>
      <c r="G78" s="418">
        <f t="shared" si="6"/>
        <v>2.4699150531179104E-2</v>
      </c>
      <c r="H78" s="419">
        <v>344.38656120000002</v>
      </c>
      <c r="I78" s="417">
        <v>359.6684191570838</v>
      </c>
      <c r="J78" s="420">
        <f t="shared" si="7"/>
        <v>4.4374141382970356E-2</v>
      </c>
    </row>
    <row r="79" spans="3:23">
      <c r="C79" s="448" t="s">
        <v>38</v>
      </c>
      <c r="D79" s="422" t="s">
        <v>12</v>
      </c>
      <c r="E79" s="416">
        <v>27.251985830184051</v>
      </c>
      <c r="F79" s="417">
        <v>27.821926591574417</v>
      </c>
      <c r="G79" s="418">
        <f t="shared" si="6"/>
        <v>2.0913733220832231E-2</v>
      </c>
      <c r="H79" s="419">
        <v>297.70247310000002</v>
      </c>
      <c r="I79" s="417">
        <v>310.25861475450694</v>
      </c>
      <c r="J79" s="418">
        <f t="shared" si="7"/>
        <v>4.2176813392776902E-2</v>
      </c>
    </row>
    <row r="80" spans="3:23">
      <c r="C80" s="448" t="s">
        <v>39</v>
      </c>
      <c r="D80" s="422" t="s">
        <v>10</v>
      </c>
      <c r="E80" s="416">
        <v>20.591364148871158</v>
      </c>
      <c r="F80" s="417">
        <v>21.331516518328083</v>
      </c>
      <c r="G80" s="418">
        <f>+F80/E80-1</f>
        <v>3.5944795308644029E-2</v>
      </c>
      <c r="H80" s="419">
        <v>227.48900319992001</v>
      </c>
      <c r="I80" s="417">
        <v>230.87952520399671</v>
      </c>
      <c r="J80" s="418">
        <f t="shared" si="7"/>
        <v>1.4904113853349887E-2</v>
      </c>
    </row>
    <row r="81" spans="3:10">
      <c r="C81" s="454" t="s">
        <v>40</v>
      </c>
      <c r="D81" s="455" t="s">
        <v>9</v>
      </c>
      <c r="E81" s="408">
        <v>26.673134185651367</v>
      </c>
      <c r="F81" s="409">
        <v>27.077679750217968</v>
      </c>
      <c r="G81" s="410">
        <f t="shared" si="6"/>
        <v>1.5166780242279243E-2</v>
      </c>
      <c r="H81" s="411">
        <v>311.35484409999998</v>
      </c>
      <c r="I81" s="409">
        <v>322.85061634341866</v>
      </c>
      <c r="J81" s="410">
        <f t="shared" si="7"/>
        <v>3.6921770967297096E-2</v>
      </c>
    </row>
    <row r="82" spans="3:10" ht="13.5" thickBot="1">
      <c r="C82" s="522" t="s">
        <v>108</v>
      </c>
      <c r="D82" s="523"/>
      <c r="E82" s="403">
        <f>SUM(E57:E81)</f>
        <v>3989.5994690204393</v>
      </c>
      <c r="F82" s="404">
        <f>SUM(F57:F81)</f>
        <v>4092.8120043412828</v>
      </c>
      <c r="G82" s="405">
        <f>+F82/E82-1</f>
        <v>2.587040030516774E-2</v>
      </c>
      <c r="H82" s="406">
        <f>SUM(H57:H81)</f>
        <v>45867.787842189828</v>
      </c>
      <c r="I82" s="404">
        <v>47506.679558910684</v>
      </c>
      <c r="J82" s="407">
        <f>+I82/H82-1</f>
        <v>3.5730777389124002E-2</v>
      </c>
    </row>
    <row r="83" spans="3:10">
      <c r="C83" s="10"/>
      <c r="D83" s="1"/>
      <c r="E83" s="1"/>
      <c r="F83" s="1"/>
      <c r="G83" s="1"/>
    </row>
    <row r="84" spans="3:10">
      <c r="C84" s="90"/>
      <c r="D84" s="90"/>
      <c r="E84" s="91"/>
      <c r="F84" s="91"/>
      <c r="G84" s="95"/>
    </row>
  </sheetData>
  <mergeCells count="30">
    <mergeCell ref="G30:G31"/>
    <mergeCell ref="J38:J39"/>
    <mergeCell ref="C23:D23"/>
    <mergeCell ref="E23:F23"/>
    <mergeCell ref="H23:I23"/>
    <mergeCell ref="C25:D25"/>
    <mergeCell ref="C29:D29"/>
    <mergeCell ref="C32:D32"/>
    <mergeCell ref="E38:F38"/>
    <mergeCell ref="G38:G39"/>
    <mergeCell ref="H38:I38"/>
    <mergeCell ref="C30:C31"/>
    <mergeCell ref="D30:D31"/>
    <mergeCell ref="H30:H31"/>
    <mergeCell ref="C82:D82"/>
    <mergeCell ref="D55:D56"/>
    <mergeCell ref="C55:C56"/>
    <mergeCell ref="Q13:Q14"/>
    <mergeCell ref="J55:J56"/>
    <mergeCell ref="C40:D40"/>
    <mergeCell ref="C45:D45"/>
    <mergeCell ref="C50:D50"/>
    <mergeCell ref="E55:F55"/>
    <mergeCell ref="G55:G56"/>
    <mergeCell ref="H55:I55"/>
    <mergeCell ref="I30:I31"/>
    <mergeCell ref="J30:J31"/>
    <mergeCell ref="E30:E31"/>
    <mergeCell ref="C27:C28"/>
    <mergeCell ref="F30:F31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85"/>
  <sheetViews>
    <sheetView tabSelected="1" view="pageBreakPreview" topLeftCell="B4" zoomScaleNormal="120" zoomScaleSheetLayoutView="100" workbookViewId="0">
      <selection activeCell="N21" sqref="N21"/>
    </sheetView>
  </sheetViews>
  <sheetFormatPr baseColWidth="10" defaultColWidth="11.42578125" defaultRowHeight="12.75"/>
  <cols>
    <col min="1" max="1" width="5.28515625" style="1" customWidth="1"/>
    <col min="2" max="2" width="2.42578125" style="8" customWidth="1"/>
    <col min="3" max="3" width="15.42578125" style="9" customWidth="1"/>
    <col min="4" max="4" width="12.7109375" style="9" customWidth="1"/>
    <col min="5" max="6" width="9.7109375" style="9" customWidth="1"/>
    <col min="7" max="7" width="6.7109375" style="9" customWidth="1"/>
    <col min="8" max="9" width="11.7109375" style="9" customWidth="1"/>
    <col min="10" max="10" width="6.7109375" style="9" customWidth="1"/>
    <col min="11" max="11" width="7.5703125" style="9" customWidth="1"/>
    <col min="12" max="12" width="11.140625" style="1" customWidth="1"/>
    <col min="13" max="16" width="11.42578125" style="1"/>
    <col min="17" max="17" width="14.5703125" style="1" customWidth="1"/>
    <col min="18" max="18" width="12.42578125" style="1" customWidth="1"/>
    <col min="19" max="16384" width="11.42578125" style="1"/>
  </cols>
  <sheetData>
    <row r="2" spans="2:19" ht="15">
      <c r="B2" s="2" t="s">
        <v>171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172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150</v>
      </c>
    </row>
    <row r="8" spans="2:19">
      <c r="C8" s="131"/>
      <c r="D8" s="131"/>
      <c r="E8" s="131"/>
      <c r="F8" s="131"/>
      <c r="G8" s="131"/>
    </row>
    <row r="9" spans="2:19">
      <c r="C9" s="363" t="s">
        <v>63</v>
      </c>
      <c r="D9" s="364" t="s">
        <v>121</v>
      </c>
      <c r="E9" s="365" t="s">
        <v>122</v>
      </c>
      <c r="F9" s="366" t="s">
        <v>72</v>
      </c>
      <c r="G9" s="367" t="s">
        <v>73</v>
      </c>
    </row>
    <row r="10" spans="2:19" ht="13.5" thickBot="1">
      <c r="C10" s="368" t="s">
        <v>123</v>
      </c>
      <c r="D10" s="369"/>
      <c r="E10" s="370"/>
      <c r="F10" s="371"/>
      <c r="G10" s="372"/>
    </row>
    <row r="11" spans="2:19" ht="13.5" thickTop="1">
      <c r="C11" s="132"/>
      <c r="D11" s="133"/>
      <c r="E11" s="134"/>
      <c r="F11" s="135"/>
      <c r="G11" s="136"/>
      <c r="Q11" s="357" t="s">
        <v>127</v>
      </c>
      <c r="R11" s="146" t="s">
        <v>125</v>
      </c>
      <c r="S11" s="147">
        <f>D14</f>
        <v>7649.884</v>
      </c>
    </row>
    <row r="12" spans="2:19">
      <c r="C12" s="358" t="s">
        <v>133</v>
      </c>
      <c r="D12" s="138"/>
      <c r="E12" s="141">
        <v>1.2310000000000001</v>
      </c>
      <c r="F12" s="140">
        <f>SUM(D12:E12)</f>
        <v>1.2310000000000001</v>
      </c>
      <c r="G12" s="426">
        <f>(F12/F$16)</f>
        <v>1.6087078795583545E-4</v>
      </c>
      <c r="Q12" s="357"/>
      <c r="R12" s="146"/>
      <c r="S12" s="147"/>
    </row>
    <row r="13" spans="2:19">
      <c r="C13" s="137"/>
      <c r="D13" s="138"/>
      <c r="E13" s="139"/>
      <c r="F13" s="140"/>
      <c r="G13" s="349"/>
      <c r="Q13" s="496" t="s">
        <v>127</v>
      </c>
      <c r="R13" s="146" t="s">
        <v>125</v>
      </c>
      <c r="S13" s="429">
        <f>E12</f>
        <v>1.2310000000000001</v>
      </c>
    </row>
    <row r="14" spans="2:19">
      <c r="C14" s="358" t="s">
        <v>134</v>
      </c>
      <c r="D14" s="138">
        <v>7649.884</v>
      </c>
      <c r="E14" s="141">
        <v>0.98899999999999999</v>
      </c>
      <c r="F14" s="140">
        <f>SUM(D14:E14)</f>
        <v>7650.8729999999996</v>
      </c>
      <c r="G14" s="426">
        <f>(F14/F$16)</f>
        <v>0.99983912921204421</v>
      </c>
      <c r="Q14" s="496"/>
      <c r="R14" s="146" t="s">
        <v>124</v>
      </c>
      <c r="S14" s="429">
        <f>E14</f>
        <v>0.98899999999999999</v>
      </c>
    </row>
    <row r="15" spans="2:19" ht="13.5" thickBot="1">
      <c r="C15" s="142"/>
      <c r="D15" s="143"/>
      <c r="E15" s="144"/>
      <c r="F15" s="145"/>
      <c r="G15" s="350"/>
      <c r="Q15" s="357"/>
      <c r="R15" s="146"/>
      <c r="S15" s="147">
        <f>SUM(S11:S14)</f>
        <v>7652.1039999999994</v>
      </c>
    </row>
    <row r="16" spans="2:19" ht="13.5" thickTop="1">
      <c r="C16" s="373" t="s">
        <v>72</v>
      </c>
      <c r="D16" s="374">
        <f>SUM(D12:D15)</f>
        <v>7649.884</v>
      </c>
      <c r="E16" s="425">
        <f>SUM(E12:E15)</f>
        <v>2.2200000000000002</v>
      </c>
      <c r="F16" s="376">
        <f>SUM(F12:F15)</f>
        <v>7652.1039999999994</v>
      </c>
      <c r="G16" s="377"/>
    </row>
    <row r="17" spans="3:23">
      <c r="C17" s="378" t="s">
        <v>109</v>
      </c>
      <c r="D17" s="427">
        <f>D16/F16</f>
        <v>0.9997098837130286</v>
      </c>
      <c r="E17" s="428">
        <f>E16/F16</f>
        <v>2.90116286971531E-4</v>
      </c>
      <c r="F17" s="381"/>
      <c r="G17" s="382"/>
    </row>
    <row r="18" spans="3:23">
      <c r="C18" s="132"/>
      <c r="D18" s="132"/>
      <c r="E18" s="132"/>
      <c r="F18" s="132"/>
      <c r="G18" s="132"/>
    </row>
    <row r="19" spans="3:23">
      <c r="C19" s="1"/>
      <c r="D19" s="1"/>
      <c r="E19" s="1"/>
      <c r="F19" s="1"/>
      <c r="G19" s="1"/>
    </row>
    <row r="20" spans="3:23">
      <c r="C20" s="10" t="s">
        <v>151</v>
      </c>
      <c r="D20" s="1"/>
      <c r="E20" s="1"/>
      <c r="F20" s="1"/>
      <c r="G20" s="1"/>
    </row>
    <row r="21" spans="3:23">
      <c r="C21" s="10"/>
      <c r="D21" s="1"/>
      <c r="E21" s="1"/>
      <c r="F21" s="1"/>
      <c r="G21" s="1"/>
    </row>
    <row r="22" spans="3:23" ht="13.5" thickBot="1">
      <c r="C22" s="132"/>
      <c r="D22" s="132"/>
      <c r="E22" s="132"/>
      <c r="F22" s="132"/>
      <c r="G22" s="132"/>
      <c r="W22" s="361"/>
    </row>
    <row r="23" spans="3:23" ht="12.75" customHeight="1">
      <c r="C23" s="549" t="s">
        <v>112</v>
      </c>
      <c r="D23" s="550"/>
      <c r="E23" s="497" t="s">
        <v>157</v>
      </c>
      <c r="F23" s="498"/>
      <c r="G23" s="151" t="s">
        <v>75</v>
      </c>
      <c r="H23"/>
      <c r="I23"/>
      <c r="J23"/>
      <c r="Q23" s="146"/>
      <c r="R23" s="146">
        <v>2019</v>
      </c>
      <c r="S23" s="146">
        <v>2020</v>
      </c>
      <c r="W23" s="362"/>
    </row>
    <row r="24" spans="3:23" ht="12.75" customHeight="1">
      <c r="C24" s="152"/>
      <c r="D24" s="153"/>
      <c r="E24" s="154">
        <v>2019</v>
      </c>
      <c r="F24" s="155">
        <v>2020</v>
      </c>
      <c r="G24" s="156"/>
      <c r="H24"/>
      <c r="I24"/>
      <c r="J24"/>
      <c r="Q24" s="146" t="s">
        <v>77</v>
      </c>
      <c r="R24" s="147">
        <f>E27</f>
        <v>190.929</v>
      </c>
      <c r="S24" s="147">
        <f>F27</f>
        <v>196.27500000000001</v>
      </c>
      <c r="W24" s="361"/>
    </row>
    <row r="25" spans="3:23">
      <c r="C25" s="530" t="s">
        <v>132</v>
      </c>
      <c r="D25" s="531"/>
      <c r="E25" s="383">
        <f>SUM(E26:E27)</f>
        <v>7441.5169999999998</v>
      </c>
      <c r="F25" s="384">
        <f>SUM(F26:F27)</f>
        <v>7649.884</v>
      </c>
      <c r="G25" s="385">
        <f>((F25/E25)-1)</f>
        <v>2.8000607940558364E-2</v>
      </c>
      <c r="H25"/>
      <c r="I25"/>
      <c r="J25"/>
      <c r="Q25" s="146" t="s">
        <v>0</v>
      </c>
      <c r="R25" s="147">
        <f>SUM(E26,E29)</f>
        <v>7252.4089999999997</v>
      </c>
      <c r="S25" s="147">
        <f>SUM(F26,F29)</f>
        <v>7455.8290000000006</v>
      </c>
      <c r="W25" s="361"/>
    </row>
    <row r="26" spans="3:23" ht="12.75" customHeight="1">
      <c r="C26" s="543" t="s">
        <v>135</v>
      </c>
      <c r="D26" s="360" t="s">
        <v>0</v>
      </c>
      <c r="E26" s="158">
        <v>7250.5879999999997</v>
      </c>
      <c r="F26" s="159">
        <v>7453.6090000000004</v>
      </c>
      <c r="G26" s="285">
        <f t="shared" ref="G26:G31" si="0">((F26/E26)-1)</f>
        <v>2.8000625604433838E-2</v>
      </c>
      <c r="H26"/>
      <c r="I26"/>
      <c r="J26"/>
    </row>
    <row r="27" spans="3:23">
      <c r="C27" s="544"/>
      <c r="D27" s="284" t="s">
        <v>77</v>
      </c>
      <c r="E27" s="158">
        <v>190.929</v>
      </c>
      <c r="F27" s="159">
        <v>196.27500000000001</v>
      </c>
      <c r="G27" s="285">
        <f t="shared" si="0"/>
        <v>2.7999937149411513E-2</v>
      </c>
      <c r="H27"/>
      <c r="I27"/>
      <c r="J27"/>
    </row>
    <row r="28" spans="3:23">
      <c r="C28" s="530" t="s">
        <v>137</v>
      </c>
      <c r="D28" s="531"/>
      <c r="E28" s="430">
        <f>SUM(E29:E30)</f>
        <v>1.821</v>
      </c>
      <c r="F28" s="431">
        <f>SUM(F29:F30)</f>
        <v>2.2200000000000002</v>
      </c>
      <c r="G28" s="385">
        <f>((F28/E28)-1)</f>
        <v>0.21911037891268537</v>
      </c>
      <c r="H28"/>
      <c r="I28"/>
      <c r="J28"/>
      <c r="Q28" s="146"/>
      <c r="R28" s="146"/>
      <c r="S28" s="146"/>
    </row>
    <row r="29" spans="3:23" ht="12.75" customHeight="1">
      <c r="C29" s="552" t="s">
        <v>136</v>
      </c>
      <c r="D29" s="554" t="s">
        <v>0</v>
      </c>
      <c r="E29" s="564">
        <v>1.821</v>
      </c>
      <c r="F29" s="566">
        <f>E16</f>
        <v>2.2200000000000002</v>
      </c>
      <c r="G29" s="562">
        <f>((F29/E29)-1)</f>
        <v>0.21911037891268537</v>
      </c>
      <c r="H29"/>
      <c r="I29"/>
      <c r="J29"/>
    </row>
    <row r="30" spans="3:23" ht="13.5" thickBot="1">
      <c r="C30" s="553"/>
      <c r="D30" s="555"/>
      <c r="E30" s="565"/>
      <c r="F30" s="567"/>
      <c r="G30" s="563"/>
      <c r="H30"/>
      <c r="I30"/>
      <c r="J30"/>
    </row>
    <row r="31" spans="3:23" ht="14.25" thickTop="1" thickBot="1">
      <c r="C31" s="560" t="s">
        <v>108</v>
      </c>
      <c r="D31" s="561"/>
      <c r="E31" s="387">
        <f>SUM(E25,E28)</f>
        <v>7443.3379999999997</v>
      </c>
      <c r="F31" s="485">
        <f>SUM(F25,F28)</f>
        <v>7652.1040000000003</v>
      </c>
      <c r="G31" s="389">
        <f t="shared" si="0"/>
        <v>2.8047362621447691E-2</v>
      </c>
      <c r="H31" s="432"/>
      <c r="I31" s="432"/>
      <c r="J31" s="432"/>
    </row>
    <row r="32" spans="3:23">
      <c r="C32" s="321"/>
      <c r="D32" s="165"/>
      <c r="E32" s="165"/>
      <c r="F32" s="166"/>
      <c r="G32" s="131"/>
      <c r="H32" s="91"/>
      <c r="I32" s="91"/>
    </row>
    <row r="33" spans="3:19">
      <c r="C33" s="90"/>
      <c r="D33" s="91"/>
      <c r="E33" s="91"/>
      <c r="F33" s="92"/>
    </row>
    <row r="34" spans="3:19">
      <c r="C34" s="10" t="s">
        <v>152</v>
      </c>
      <c r="D34" s="1"/>
      <c r="E34" s="1"/>
      <c r="F34" s="1"/>
      <c r="G34" s="1"/>
    </row>
    <row r="35" spans="3:19">
      <c r="C35" s="10"/>
      <c r="D35" s="1"/>
      <c r="E35" s="1"/>
      <c r="F35" s="1"/>
      <c r="G35" s="1"/>
    </row>
    <row r="36" spans="3:19" ht="13.5" thickBot="1">
      <c r="C36" s="10"/>
      <c r="D36" s="1"/>
      <c r="E36" s="1"/>
      <c r="F36" s="1"/>
      <c r="G36" s="1"/>
    </row>
    <row r="37" spans="3:19" ht="12.75" customHeight="1">
      <c r="C37" s="149"/>
      <c r="D37" s="150"/>
      <c r="E37" s="497" t="s">
        <v>157</v>
      </c>
      <c r="F37" s="498"/>
      <c r="G37" s="499" t="s">
        <v>75</v>
      </c>
      <c r="H37"/>
      <c r="I37"/>
      <c r="J37"/>
      <c r="Q37" s="146"/>
      <c r="R37" s="146">
        <v>2019</v>
      </c>
      <c r="S37" s="146">
        <v>2020</v>
      </c>
    </row>
    <row r="38" spans="3:19" ht="12.75" customHeight="1">
      <c r="C38" s="152" t="s">
        <v>76</v>
      </c>
      <c r="D38" s="153"/>
      <c r="E38" s="154">
        <v>2019</v>
      </c>
      <c r="F38" s="155">
        <v>2020</v>
      </c>
      <c r="G38" s="500"/>
      <c r="H38"/>
      <c r="I38"/>
      <c r="J38"/>
      <c r="Q38" s="146" t="s">
        <v>131</v>
      </c>
      <c r="R38" s="147">
        <f t="shared" ref="R38:S40" si="1">SUM(E40,E45)*1000</f>
        <v>190</v>
      </c>
      <c r="S38" s="147">
        <f t="shared" si="1"/>
        <v>218</v>
      </c>
    </row>
    <row r="39" spans="3:19">
      <c r="C39" s="530" t="s">
        <v>132</v>
      </c>
      <c r="D39" s="531"/>
      <c r="E39" s="383">
        <f>SUM(E40:E43)</f>
        <v>7441.5169999999998</v>
      </c>
      <c r="F39" s="384">
        <f>SUM(F40:F43)</f>
        <v>7649.884</v>
      </c>
      <c r="G39" s="385">
        <f>((F39/E39)-1)</f>
        <v>2.8000607940558364E-2</v>
      </c>
      <c r="H39"/>
      <c r="I39"/>
      <c r="J39"/>
      <c r="Q39" s="146" t="s">
        <v>130</v>
      </c>
      <c r="R39" s="147">
        <f t="shared" si="1"/>
        <v>168</v>
      </c>
      <c r="S39" s="147">
        <f t="shared" si="1"/>
        <v>152</v>
      </c>
    </row>
    <row r="40" spans="3:19">
      <c r="C40" s="157" t="s">
        <v>131</v>
      </c>
      <c r="D40" s="132"/>
      <c r="E40" s="330">
        <v>1E-3</v>
      </c>
      <c r="F40" s="434">
        <v>1E-3</v>
      </c>
      <c r="G40" s="285">
        <f t="shared" ref="G40:G47" si="2">((F40/E40)-1)</f>
        <v>0</v>
      </c>
      <c r="H40"/>
      <c r="I40"/>
      <c r="J40"/>
      <c r="Q40" s="146" t="s">
        <v>129</v>
      </c>
      <c r="R40" s="147">
        <f t="shared" si="1"/>
        <v>20562</v>
      </c>
      <c r="S40" s="147">
        <f t="shared" si="1"/>
        <v>21080.000000000004</v>
      </c>
    </row>
    <row r="41" spans="3:19">
      <c r="C41" s="157" t="s">
        <v>130</v>
      </c>
      <c r="D41" s="132"/>
      <c r="E41" s="330">
        <v>8.9999999999999993E-3</v>
      </c>
      <c r="F41" s="434">
        <v>8.9999999999999993E-3</v>
      </c>
      <c r="G41" s="285">
        <f t="shared" si="2"/>
        <v>0</v>
      </c>
      <c r="H41"/>
      <c r="I41"/>
      <c r="J41"/>
    </row>
    <row r="42" spans="3:19">
      <c r="C42" s="157" t="s">
        <v>129</v>
      </c>
      <c r="D42" s="132"/>
      <c r="E42" s="158">
        <v>19.091000000000001</v>
      </c>
      <c r="F42" s="159">
        <v>19.222000000000001</v>
      </c>
      <c r="G42" s="285">
        <f t="shared" si="2"/>
        <v>6.861872086323384E-3</v>
      </c>
      <c r="H42"/>
      <c r="I42"/>
      <c r="J42"/>
      <c r="Q42" s="146"/>
      <c r="R42" s="443"/>
      <c r="S42" s="445"/>
    </row>
    <row r="43" spans="3:19">
      <c r="C43" s="157" t="s">
        <v>128</v>
      </c>
      <c r="D43" s="132"/>
      <c r="E43" s="158">
        <v>7422.4160000000002</v>
      </c>
      <c r="F43" s="159">
        <v>7630.652</v>
      </c>
      <c r="G43" s="93">
        <f t="shared" si="2"/>
        <v>2.8055016048682768E-2</v>
      </c>
      <c r="H43"/>
      <c r="I43"/>
      <c r="J43"/>
    </row>
    <row r="44" spans="3:19">
      <c r="C44" s="530" t="s">
        <v>137</v>
      </c>
      <c r="D44" s="531"/>
      <c r="E44" s="430">
        <f>SUM(E45:E48)</f>
        <v>1.821</v>
      </c>
      <c r="F44" s="431">
        <f>SUM(F45:F48)</f>
        <v>2.2199999999999998</v>
      </c>
      <c r="G44" s="385">
        <f t="shared" si="2"/>
        <v>0.21911037891268514</v>
      </c>
      <c r="H44"/>
      <c r="I44"/>
      <c r="J44"/>
    </row>
    <row r="45" spans="3:19">
      <c r="C45" s="157" t="s">
        <v>131</v>
      </c>
      <c r="D45" s="132"/>
      <c r="E45" s="330">
        <v>0.189</v>
      </c>
      <c r="F45" s="434">
        <v>0.217</v>
      </c>
      <c r="G45" s="433">
        <f t="shared" si="2"/>
        <v>0.14814814814814814</v>
      </c>
      <c r="H45"/>
      <c r="I45"/>
      <c r="J45"/>
      <c r="R45" s="444"/>
      <c r="S45" s="444"/>
    </row>
    <row r="46" spans="3:19">
      <c r="C46" s="157" t="s">
        <v>130</v>
      </c>
      <c r="D46" s="392"/>
      <c r="E46" s="439">
        <v>0.159</v>
      </c>
      <c r="F46" s="437">
        <v>0.14299999999999999</v>
      </c>
      <c r="G46" s="160">
        <f t="shared" si="2"/>
        <v>-0.10062893081761015</v>
      </c>
      <c r="H46"/>
      <c r="I46"/>
      <c r="J46"/>
    </row>
    <row r="47" spans="3:19">
      <c r="C47" s="157" t="s">
        <v>129</v>
      </c>
      <c r="D47" s="392"/>
      <c r="E47" s="438">
        <v>1.4710000000000001</v>
      </c>
      <c r="F47" s="435">
        <v>1.8580000000000001</v>
      </c>
      <c r="G47" s="160">
        <f t="shared" si="2"/>
        <v>0.26308633582596874</v>
      </c>
      <c r="H47"/>
      <c r="I47"/>
      <c r="J47"/>
    </row>
    <row r="48" spans="3:19" ht="13.5" thickBot="1">
      <c r="C48" s="157" t="s">
        <v>128</v>
      </c>
      <c r="D48" s="132"/>
      <c r="E48" s="440">
        <v>2E-3</v>
      </c>
      <c r="F48" s="436">
        <v>2E-3</v>
      </c>
      <c r="G48" s="310">
        <f>((F48/E48)-1)</f>
        <v>0</v>
      </c>
      <c r="H48"/>
      <c r="I48"/>
      <c r="J48"/>
    </row>
    <row r="49" spans="3:25" ht="14.25" thickTop="1" thickBot="1">
      <c r="C49" s="532" t="s">
        <v>108</v>
      </c>
      <c r="D49" s="533"/>
      <c r="E49" s="387">
        <f>SUM(E39,E44)</f>
        <v>7443.3379999999997</v>
      </c>
      <c r="F49" s="388">
        <f>SUM(F39,F44)</f>
        <v>7652.1040000000003</v>
      </c>
      <c r="G49" s="389">
        <f>((F49/E49)-1)</f>
        <v>2.8047362621447691E-2</v>
      </c>
      <c r="H49"/>
      <c r="I49"/>
      <c r="J49"/>
    </row>
    <row r="50" spans="3:25">
      <c r="D50" s="1"/>
      <c r="E50" s="1"/>
      <c r="F50" s="1"/>
      <c r="G50" s="1"/>
    </row>
    <row r="51" spans="3:25">
      <c r="C51" s="10" t="s">
        <v>153</v>
      </c>
      <c r="D51" s="1"/>
      <c r="E51" s="1"/>
      <c r="F51" s="1"/>
      <c r="G51" s="1"/>
      <c r="I51" s="91"/>
      <c r="M51" s="266"/>
    </row>
    <row r="52" spans="3:25">
      <c r="C52" s="10"/>
      <c r="D52" s="1"/>
      <c r="E52" s="1"/>
      <c r="F52" s="1"/>
      <c r="G52" s="1"/>
      <c r="M52" s="266"/>
    </row>
    <row r="53" spans="3:25" ht="13.5" thickBot="1">
      <c r="C53" s="10"/>
      <c r="D53" s="1"/>
      <c r="E53" s="1"/>
      <c r="F53" s="1"/>
      <c r="G53" s="1"/>
      <c r="L53" s="266"/>
      <c r="M53" s="266"/>
    </row>
    <row r="54" spans="3:25" ht="12.75" customHeight="1">
      <c r="C54" s="526" t="s">
        <v>61</v>
      </c>
      <c r="D54" s="524" t="s">
        <v>44</v>
      </c>
      <c r="E54" s="534" t="s">
        <v>157</v>
      </c>
      <c r="F54" s="535"/>
      <c r="G54" s="528" t="s">
        <v>75</v>
      </c>
      <c r="H54"/>
      <c r="I54"/>
      <c r="J54"/>
      <c r="L54" s="266"/>
      <c r="M54" s="266"/>
    </row>
    <row r="55" spans="3:25" ht="12.75" customHeight="1">
      <c r="C55" s="527"/>
      <c r="D55" s="525"/>
      <c r="E55" s="400">
        <v>2019</v>
      </c>
      <c r="F55" s="401">
        <v>2020</v>
      </c>
      <c r="G55" s="529"/>
      <c r="H55"/>
      <c r="I55"/>
      <c r="J55"/>
      <c r="L55" s="266"/>
      <c r="M55" s="266"/>
    </row>
    <row r="56" spans="3:25">
      <c r="C56" s="446" t="s">
        <v>17</v>
      </c>
      <c r="D56" s="447" t="s">
        <v>10</v>
      </c>
      <c r="E56" s="412">
        <v>81.897000000000006</v>
      </c>
      <c r="F56" s="413">
        <v>83.028999999999996</v>
      </c>
      <c r="G56" s="461">
        <f>+F56/E56-1</f>
        <v>1.3822240130896057E-2</v>
      </c>
      <c r="H56"/>
      <c r="I56"/>
      <c r="J56"/>
    </row>
    <row r="57" spans="3:25">
      <c r="C57" s="448" t="s">
        <v>18</v>
      </c>
      <c r="D57" s="422" t="s">
        <v>9</v>
      </c>
      <c r="E57" s="416">
        <v>277.30700000000002</v>
      </c>
      <c r="F57" s="417">
        <v>284.26100000000002</v>
      </c>
      <c r="G57" s="420">
        <f t="shared" ref="G57:G80" si="3">+F57/E57-1</f>
        <v>2.5076900330680552E-2</v>
      </c>
      <c r="H57"/>
      <c r="I57"/>
      <c r="J57"/>
      <c r="L57" s="266"/>
    </row>
    <row r="58" spans="3:25">
      <c r="C58" s="449" t="s">
        <v>19</v>
      </c>
      <c r="D58" s="422" t="s">
        <v>12</v>
      </c>
      <c r="E58" s="416">
        <v>128.09200000000001</v>
      </c>
      <c r="F58" s="417">
        <v>132.58000000000001</v>
      </c>
      <c r="G58" s="420">
        <f t="shared" si="3"/>
        <v>3.5037316928457685E-2</v>
      </c>
      <c r="H58"/>
      <c r="I58"/>
      <c r="J58"/>
      <c r="L58" s="266"/>
      <c r="M58" s="266"/>
      <c r="S58" s="146">
        <v>2019</v>
      </c>
      <c r="T58" s="146">
        <v>2020</v>
      </c>
      <c r="U58" s="146"/>
      <c r="V58" s="146"/>
    </row>
    <row r="59" spans="3:25">
      <c r="C59" s="448" t="s">
        <v>20</v>
      </c>
      <c r="D59" s="422" t="s">
        <v>12</v>
      </c>
      <c r="E59" s="416">
        <v>429.81900000000002</v>
      </c>
      <c r="F59" s="417">
        <v>442.53300000000002</v>
      </c>
      <c r="G59" s="420">
        <f t="shared" si="3"/>
        <v>2.9579892931675955E-2</v>
      </c>
      <c r="H59"/>
      <c r="I59"/>
      <c r="J59"/>
      <c r="R59" s="146" t="s">
        <v>139</v>
      </c>
      <c r="S59" s="147">
        <f>E70</f>
        <v>2367.1559999999999</v>
      </c>
      <c r="T59" s="147">
        <f>F70</f>
        <v>2427.0619999999999</v>
      </c>
      <c r="U59" s="148">
        <f>S59/S$61</f>
        <v>0.31802344593245668</v>
      </c>
      <c r="V59" s="148">
        <f>T59/T$61</f>
        <v>0.3171757728331972</v>
      </c>
    </row>
    <row r="60" spans="3:25">
      <c r="C60" s="448" t="s">
        <v>21</v>
      </c>
      <c r="D60" s="422" t="s">
        <v>12</v>
      </c>
      <c r="E60" s="416">
        <v>163.291</v>
      </c>
      <c r="F60" s="417">
        <v>171</v>
      </c>
      <c r="G60" s="420">
        <f t="shared" si="3"/>
        <v>4.7210195295515289E-2</v>
      </c>
      <c r="H60"/>
      <c r="I60"/>
      <c r="J60"/>
      <c r="R60" s="146" t="s">
        <v>140</v>
      </c>
      <c r="S60" s="147">
        <f>E81-S59</f>
        <v>5076.1819999999989</v>
      </c>
      <c r="T60" s="147">
        <f>F81-T59</f>
        <v>5225.0420000000004</v>
      </c>
      <c r="U60" s="148">
        <f>S60/S$61</f>
        <v>0.68197655406754332</v>
      </c>
      <c r="V60" s="148">
        <f>T60/T$61</f>
        <v>0.6828242271668028</v>
      </c>
    </row>
    <row r="61" spans="3:25">
      <c r="C61" s="448" t="s">
        <v>22</v>
      </c>
      <c r="D61" s="422" t="s">
        <v>10</v>
      </c>
      <c r="E61" s="416">
        <v>289.53100000000001</v>
      </c>
      <c r="F61" s="417">
        <v>301.726</v>
      </c>
      <c r="G61" s="420">
        <f t="shared" si="3"/>
        <v>4.211984208944819E-2</v>
      </c>
      <c r="H61"/>
      <c r="I61"/>
      <c r="J61"/>
      <c r="S61" s="266">
        <f>SUM(S59:S60)</f>
        <v>7443.3379999999988</v>
      </c>
      <c r="T61" s="266">
        <f>SUM(T59:T60)</f>
        <v>7652.1040000000003</v>
      </c>
      <c r="W61" s="146">
        <v>1</v>
      </c>
      <c r="X61" s="452" t="s">
        <v>39</v>
      </c>
      <c r="Y61" s="147">
        <f>F79</f>
        <v>55.953000000000003</v>
      </c>
    </row>
    <row r="62" spans="3:25">
      <c r="C62" s="448" t="s">
        <v>60</v>
      </c>
      <c r="D62" s="422" t="s">
        <v>9</v>
      </c>
      <c r="E62" s="416">
        <v>229.541</v>
      </c>
      <c r="F62" s="417">
        <v>232.29400000000001</v>
      </c>
      <c r="G62" s="420">
        <f t="shared" si="3"/>
        <v>1.1993500071882712E-2</v>
      </c>
      <c r="H62"/>
      <c r="I62"/>
      <c r="J62"/>
      <c r="W62" s="146">
        <v>2</v>
      </c>
      <c r="X62" s="452" t="s">
        <v>35</v>
      </c>
      <c r="Y62" s="147">
        <f>F75</f>
        <v>460.63400000000001</v>
      </c>
    </row>
    <row r="63" spans="3:25">
      <c r="C63" s="448" t="s">
        <v>23</v>
      </c>
      <c r="D63" s="422" t="s">
        <v>12</v>
      </c>
      <c r="E63" s="416">
        <v>378.17700000000002</v>
      </c>
      <c r="F63" s="417">
        <v>390.71899999999999</v>
      </c>
      <c r="G63" s="420">
        <f t="shared" si="3"/>
        <v>3.3164364834455728E-2</v>
      </c>
      <c r="H63"/>
      <c r="I63"/>
      <c r="J63"/>
      <c r="W63" s="146">
        <v>3</v>
      </c>
      <c r="X63" s="452" t="s">
        <v>17</v>
      </c>
      <c r="Y63" s="147">
        <f>F56</f>
        <v>83.028999999999996</v>
      </c>
    </row>
    <row r="64" spans="3:25">
      <c r="C64" s="448" t="s">
        <v>24</v>
      </c>
      <c r="D64" s="422" t="s">
        <v>9</v>
      </c>
      <c r="E64" s="416">
        <v>101.788</v>
      </c>
      <c r="F64" s="417">
        <v>103.33</v>
      </c>
      <c r="G64" s="420">
        <f t="shared" si="3"/>
        <v>1.5149133493142619E-2</v>
      </c>
      <c r="H64"/>
      <c r="I64"/>
      <c r="J64"/>
      <c r="W64" s="146">
        <v>4</v>
      </c>
      <c r="X64" s="452" t="s">
        <v>29</v>
      </c>
      <c r="Y64" s="147">
        <f>F69</f>
        <v>300.63499999999999</v>
      </c>
    </row>
    <row r="65" spans="3:25">
      <c r="C65" s="448" t="s">
        <v>25</v>
      </c>
      <c r="D65" s="422" t="s">
        <v>9</v>
      </c>
      <c r="E65" s="416">
        <v>162.55799999999999</v>
      </c>
      <c r="F65" s="417">
        <v>169.095</v>
      </c>
      <c r="G65" s="420">
        <f t="shared" si="3"/>
        <v>4.02133392389179E-2</v>
      </c>
      <c r="H65"/>
      <c r="I65"/>
      <c r="J65"/>
      <c r="W65" s="146">
        <v>5</v>
      </c>
      <c r="X65" s="452" t="s">
        <v>22</v>
      </c>
      <c r="Y65" s="147">
        <f>F61</f>
        <v>301.726</v>
      </c>
    </row>
    <row r="66" spans="3:25">
      <c r="C66" s="448" t="s">
        <v>26</v>
      </c>
      <c r="D66" s="422" t="s">
        <v>12</v>
      </c>
      <c r="E66" s="416">
        <v>218.98400000000001</v>
      </c>
      <c r="F66" s="417">
        <v>225.96600000000001</v>
      </c>
      <c r="G66" s="420">
        <f t="shared" si="3"/>
        <v>3.1883607934826363E-2</v>
      </c>
      <c r="H66"/>
      <c r="I66"/>
      <c r="J66"/>
      <c r="W66" s="146">
        <v>6</v>
      </c>
      <c r="X66" s="452" t="s">
        <v>28</v>
      </c>
      <c r="Y66" s="147">
        <f>F68</f>
        <v>466.79199999999997</v>
      </c>
    </row>
    <row r="67" spans="3:25">
      <c r="C67" s="448" t="s">
        <v>27</v>
      </c>
      <c r="D67" s="422" t="s">
        <v>9</v>
      </c>
      <c r="E67" s="416">
        <v>352.41699999999997</v>
      </c>
      <c r="F67" s="417">
        <v>363.26600000000002</v>
      </c>
      <c r="G67" s="420">
        <f t="shared" si="3"/>
        <v>3.0784553526078673E-2</v>
      </c>
      <c r="H67"/>
      <c r="I67"/>
      <c r="J67"/>
      <c r="Q67" s="146"/>
      <c r="R67" s="146"/>
      <c r="T67" s="146"/>
      <c r="U67" s="146"/>
      <c r="V67" s="146"/>
      <c r="W67" s="146">
        <v>7</v>
      </c>
      <c r="X67" s="452" t="s">
        <v>37</v>
      </c>
      <c r="Y67" s="147">
        <f>F77</f>
        <v>217.16300000000001</v>
      </c>
    </row>
    <row r="68" spans="3:25">
      <c r="C68" s="448" t="s">
        <v>28</v>
      </c>
      <c r="D68" s="422" t="s">
        <v>10</v>
      </c>
      <c r="E68" s="416">
        <v>450.173</v>
      </c>
      <c r="F68" s="417">
        <v>466.79199999999997</v>
      </c>
      <c r="G68" s="420">
        <f t="shared" si="3"/>
        <v>3.6916918606846538E-2</v>
      </c>
      <c r="H68"/>
      <c r="I68"/>
      <c r="J68"/>
      <c r="Q68" s="423"/>
      <c r="R68" s="146"/>
      <c r="T68" s="147"/>
      <c r="U68" s="147"/>
      <c r="V68" s="148"/>
      <c r="W68" s="146">
        <v>8</v>
      </c>
      <c r="X68" s="452" t="s">
        <v>31</v>
      </c>
      <c r="Y68" s="453">
        <f>F71</f>
        <v>147.31</v>
      </c>
    </row>
    <row r="69" spans="3:25">
      <c r="C69" s="448" t="s">
        <v>29</v>
      </c>
      <c r="D69" s="422" t="s">
        <v>10</v>
      </c>
      <c r="E69" s="416">
        <v>295.09399999999999</v>
      </c>
      <c r="F69" s="417">
        <v>300.63499999999999</v>
      </c>
      <c r="G69" s="420">
        <f t="shared" si="3"/>
        <v>1.8777067646241541E-2</v>
      </c>
      <c r="H69"/>
      <c r="I69"/>
      <c r="J69"/>
      <c r="Q69" s="423"/>
      <c r="R69" s="146"/>
      <c r="S69" s="146">
        <v>2019</v>
      </c>
      <c r="T69" s="146">
        <v>2020</v>
      </c>
      <c r="U69" s="147"/>
      <c r="V69" s="148"/>
      <c r="W69" s="146">
        <v>9</v>
      </c>
      <c r="X69" s="452" t="s">
        <v>18</v>
      </c>
      <c r="Y69" s="453">
        <f>F57</f>
        <v>284.26100000000002</v>
      </c>
    </row>
    <row r="70" spans="3:25">
      <c r="C70" s="448" t="s">
        <v>30</v>
      </c>
      <c r="D70" s="422" t="s">
        <v>9</v>
      </c>
      <c r="E70" s="416">
        <v>2367.1559999999999</v>
      </c>
      <c r="F70" s="417">
        <v>2427.0619999999999</v>
      </c>
      <c r="G70" s="420">
        <f t="shared" si="3"/>
        <v>2.5307161843156845E-2</v>
      </c>
      <c r="H70"/>
      <c r="I70"/>
      <c r="J70"/>
      <c r="Q70" s="423"/>
      <c r="R70" s="146" t="s">
        <v>9</v>
      </c>
      <c r="S70" s="238">
        <f>SUM(E57,E62,E64,E65,E67,E70,E74,E80)</f>
        <v>3646.3789999999999</v>
      </c>
      <c r="T70" s="238">
        <f>SUM(F57,F62,F64,F65,F67,F70,F74,F80)</f>
        <v>3739.9320000000002</v>
      </c>
      <c r="U70" s="148">
        <f>S70/S$74</f>
        <v>0.48988491453699939</v>
      </c>
      <c r="V70" s="148">
        <f>T70/T$74</f>
        <v>0.48874557899369903</v>
      </c>
      <c r="W70" s="146">
        <v>10</v>
      </c>
      <c r="X70" s="452" t="s">
        <v>142</v>
      </c>
      <c r="Y70" s="453">
        <f>F65</f>
        <v>169.095</v>
      </c>
    </row>
    <row r="71" spans="3:25">
      <c r="C71" s="448" t="s">
        <v>31</v>
      </c>
      <c r="D71" s="422" t="s">
        <v>11</v>
      </c>
      <c r="E71" s="416">
        <v>142.83099999999999</v>
      </c>
      <c r="F71" s="417">
        <v>147.31</v>
      </c>
      <c r="G71" s="420">
        <f t="shared" si="3"/>
        <v>3.1358738649172935E-2</v>
      </c>
      <c r="H71"/>
      <c r="I71"/>
      <c r="J71"/>
      <c r="Q71" s="423"/>
      <c r="R71" s="146" t="s">
        <v>12</v>
      </c>
      <c r="S71" s="238">
        <f>SUM(E58:E60,E63,E66,E72:E73,E76,E78)</f>
        <v>1821.9579999999999</v>
      </c>
      <c r="T71" s="238">
        <f>SUM(F58:F60,F63,F66,F72:F73,F76,F78)</f>
        <v>1878.93</v>
      </c>
      <c r="U71" s="148">
        <f t="shared" ref="U71:V73" si="4">S71/S$74</f>
        <v>0.24477700730505586</v>
      </c>
      <c r="V71" s="148">
        <f t="shared" si="4"/>
        <v>0.24554423201775616</v>
      </c>
      <c r="W71" s="146">
        <v>11</v>
      </c>
      <c r="X71" s="452" t="s">
        <v>30</v>
      </c>
      <c r="Y71" s="453">
        <f>F70</f>
        <v>2427.0619999999999</v>
      </c>
    </row>
    <row r="72" spans="3:25">
      <c r="C72" s="448" t="s">
        <v>32</v>
      </c>
      <c r="D72" s="422" t="s">
        <v>12</v>
      </c>
      <c r="E72" s="416">
        <v>36.298000000000002</v>
      </c>
      <c r="F72" s="417">
        <v>38.387</v>
      </c>
      <c r="G72" s="420">
        <f t="shared" si="3"/>
        <v>5.7551380241335659E-2</v>
      </c>
      <c r="H72"/>
      <c r="I72"/>
      <c r="J72"/>
      <c r="Q72" s="146"/>
      <c r="R72" s="146" t="s">
        <v>10</v>
      </c>
      <c r="S72" s="238">
        <f>SUM(E56,E61,E68:E69,E75,E77,E79)</f>
        <v>1832.1699999999998</v>
      </c>
      <c r="T72" s="238">
        <f>SUM(F56,F61,F68:F69,F75,F77,F79)</f>
        <v>1885.932</v>
      </c>
      <c r="U72" s="148">
        <f t="shared" si="4"/>
        <v>0.24614897240995906</v>
      </c>
      <c r="V72" s="148">
        <f t="shared" si="4"/>
        <v>0.24645927446882582</v>
      </c>
      <c r="W72" s="146">
        <v>12</v>
      </c>
      <c r="X72" s="452" t="s">
        <v>34</v>
      </c>
      <c r="Y72" s="147">
        <f>F74</f>
        <v>63.527000000000001</v>
      </c>
    </row>
    <row r="73" spans="3:25">
      <c r="C73" s="448" t="s">
        <v>33</v>
      </c>
      <c r="D73" s="422" t="s">
        <v>12</v>
      </c>
      <c r="E73" s="416">
        <v>57.908000000000001</v>
      </c>
      <c r="F73" s="417">
        <v>59.936</v>
      </c>
      <c r="G73" s="420">
        <f t="shared" si="3"/>
        <v>3.5021067900808056E-2</v>
      </c>
      <c r="H73"/>
      <c r="I73"/>
      <c r="J73"/>
      <c r="Q73" s="146"/>
      <c r="R73" s="146" t="s">
        <v>11</v>
      </c>
      <c r="S73" s="238">
        <f>SUM(E71)</f>
        <v>142.83099999999999</v>
      </c>
      <c r="T73" s="238">
        <f>SUM(F71)</f>
        <v>147.31</v>
      </c>
      <c r="U73" s="148">
        <f t="shared" si="4"/>
        <v>1.9189105747985647E-2</v>
      </c>
      <c r="V73" s="148">
        <f t="shared" si="4"/>
        <v>1.9250914519719022E-2</v>
      </c>
      <c r="W73" s="146">
        <v>13</v>
      </c>
      <c r="X73" s="452" t="s">
        <v>40</v>
      </c>
      <c r="Y73" s="147">
        <f>F80</f>
        <v>97.096999999999994</v>
      </c>
    </row>
    <row r="74" spans="3:25">
      <c r="C74" s="448" t="s">
        <v>34</v>
      </c>
      <c r="D74" s="422" t="s">
        <v>9</v>
      </c>
      <c r="E74" s="416">
        <v>61.610999999999997</v>
      </c>
      <c r="F74" s="417">
        <v>63.527000000000001</v>
      </c>
      <c r="G74" s="420">
        <f t="shared" si="3"/>
        <v>3.1098342828391079E-2</v>
      </c>
      <c r="H74"/>
      <c r="I74"/>
      <c r="J74"/>
      <c r="Q74" s="146"/>
      <c r="S74" s="424">
        <f>SUM(S70:S73)</f>
        <v>7443.3379999999997</v>
      </c>
      <c r="T74" s="424">
        <f>SUM(T70:T73)</f>
        <v>7652.1040000000003</v>
      </c>
      <c r="U74" s="147"/>
      <c r="V74" s="146"/>
      <c r="W74" s="146">
        <v>14</v>
      </c>
      <c r="X74" s="452" t="s">
        <v>60</v>
      </c>
      <c r="Y74" s="147">
        <f>F62</f>
        <v>232.29400000000001</v>
      </c>
    </row>
    <row r="75" spans="3:25">
      <c r="C75" s="448" t="s">
        <v>35</v>
      </c>
      <c r="D75" s="422" t="s">
        <v>10</v>
      </c>
      <c r="E75" s="416">
        <v>449.84800000000001</v>
      </c>
      <c r="F75" s="417">
        <v>460.63400000000001</v>
      </c>
      <c r="G75" s="420">
        <f t="shared" si="3"/>
        <v>2.3976987782539982E-2</v>
      </c>
      <c r="H75"/>
      <c r="I75"/>
      <c r="J75"/>
      <c r="W75" s="146">
        <v>15</v>
      </c>
      <c r="X75" s="452" t="s">
        <v>143</v>
      </c>
      <c r="Y75" s="147">
        <f>F67</f>
        <v>363.26600000000002</v>
      </c>
    </row>
    <row r="76" spans="3:25">
      <c r="C76" s="448" t="s">
        <v>36</v>
      </c>
      <c r="D76" s="422" t="s">
        <v>12</v>
      </c>
      <c r="E76" s="416">
        <v>302.98899999999998</v>
      </c>
      <c r="F76" s="417">
        <v>308.34300000000002</v>
      </c>
      <c r="G76" s="420">
        <f t="shared" si="3"/>
        <v>1.7670608503939311E-2</v>
      </c>
      <c r="H76"/>
      <c r="I76"/>
      <c r="J76"/>
      <c r="W76" s="146">
        <v>16</v>
      </c>
      <c r="X76" s="452" t="s">
        <v>24</v>
      </c>
      <c r="Y76" s="147">
        <f>F64</f>
        <v>103.33</v>
      </c>
    </row>
    <row r="77" spans="3:25">
      <c r="C77" s="448" t="s">
        <v>37</v>
      </c>
      <c r="D77" s="422" t="s">
        <v>10</v>
      </c>
      <c r="E77" s="416">
        <v>210.32900000000001</v>
      </c>
      <c r="F77" s="417">
        <v>217.16300000000001</v>
      </c>
      <c r="G77" s="420">
        <f t="shared" si="3"/>
        <v>3.2491953083026992E-2</v>
      </c>
      <c r="H77"/>
      <c r="I77"/>
      <c r="J77"/>
      <c r="W77" s="146">
        <v>17</v>
      </c>
      <c r="X77" s="452" t="s">
        <v>26</v>
      </c>
      <c r="Y77" s="147">
        <f>F66</f>
        <v>225.96600000000001</v>
      </c>
    </row>
    <row r="78" spans="3:25">
      <c r="C78" s="448" t="s">
        <v>38</v>
      </c>
      <c r="D78" s="422" t="s">
        <v>12</v>
      </c>
      <c r="E78" s="416">
        <v>106.4</v>
      </c>
      <c r="F78" s="417">
        <v>109.46599999999999</v>
      </c>
      <c r="G78" s="420">
        <f t="shared" si="3"/>
        <v>2.8815789473684017E-2</v>
      </c>
      <c r="H78"/>
      <c r="I78"/>
      <c r="J78"/>
      <c r="W78" s="146">
        <v>18</v>
      </c>
      <c r="X78" s="452" t="s">
        <v>21</v>
      </c>
      <c r="Y78" s="147">
        <f>F60</f>
        <v>171</v>
      </c>
    </row>
    <row r="79" spans="3:25">
      <c r="C79" s="448" t="s">
        <v>39</v>
      </c>
      <c r="D79" s="422" t="s">
        <v>10</v>
      </c>
      <c r="E79" s="416">
        <v>55.298000000000002</v>
      </c>
      <c r="F79" s="417">
        <v>55.953000000000003</v>
      </c>
      <c r="G79" s="420">
        <f>+F79/E79-1</f>
        <v>1.1844913016745728E-2</v>
      </c>
      <c r="H79"/>
      <c r="I79"/>
      <c r="J79"/>
      <c r="W79" s="146">
        <v>19</v>
      </c>
      <c r="X79" s="452" t="s">
        <v>19</v>
      </c>
      <c r="Y79" s="147">
        <f>F58</f>
        <v>132.58000000000001</v>
      </c>
    </row>
    <row r="80" spans="3:25" ht="13.5" thickBot="1">
      <c r="C80" s="450" t="s">
        <v>40</v>
      </c>
      <c r="D80" s="451" t="s">
        <v>9</v>
      </c>
      <c r="E80" s="441">
        <v>94.001000000000005</v>
      </c>
      <c r="F80" s="442">
        <v>97.096999999999994</v>
      </c>
      <c r="G80" s="462">
        <f t="shared" si="3"/>
        <v>3.2935819831703794E-2</v>
      </c>
      <c r="H80"/>
      <c r="I80"/>
      <c r="J80"/>
      <c r="W80" s="146">
        <v>20</v>
      </c>
      <c r="X80" s="452" t="s">
        <v>23</v>
      </c>
      <c r="Y80" s="147">
        <f>F63</f>
        <v>390.71899999999999</v>
      </c>
    </row>
    <row r="81" spans="3:25" ht="14.25" thickTop="1" thickBot="1">
      <c r="C81" s="558" t="s">
        <v>108</v>
      </c>
      <c r="D81" s="559"/>
      <c r="E81" s="403">
        <f>SUM(E56:E80)</f>
        <v>7443.3379999999988</v>
      </c>
      <c r="F81" s="486">
        <f>SUM(F56:F80)</f>
        <v>7652.1040000000003</v>
      </c>
      <c r="G81" s="407">
        <f>+F81/E81-1</f>
        <v>2.8047362621447691E-2</v>
      </c>
      <c r="H81"/>
      <c r="I81"/>
      <c r="J81"/>
      <c r="W81" s="146">
        <v>21</v>
      </c>
      <c r="X81" s="452" t="s">
        <v>32</v>
      </c>
      <c r="Y81" s="147">
        <f>F72</f>
        <v>38.387</v>
      </c>
    </row>
    <row r="82" spans="3:25">
      <c r="C82" s="10"/>
      <c r="D82" s="1"/>
      <c r="E82" s="1"/>
      <c r="F82" s="1"/>
      <c r="G82" s="1"/>
      <c r="W82" s="146">
        <v>22</v>
      </c>
      <c r="X82" s="452" t="s">
        <v>20</v>
      </c>
      <c r="Y82" s="147">
        <f>F59</f>
        <v>442.53300000000002</v>
      </c>
    </row>
    <row r="83" spans="3:25">
      <c r="C83" s="90"/>
      <c r="D83" s="90"/>
      <c r="E83" s="91"/>
      <c r="F83" s="91"/>
      <c r="G83" s="95"/>
      <c r="W83" s="146">
        <v>23</v>
      </c>
      <c r="X83" s="452" t="s">
        <v>36</v>
      </c>
      <c r="Y83" s="147">
        <f>F76</f>
        <v>308.34300000000002</v>
      </c>
    </row>
    <row r="84" spans="3:25">
      <c r="W84" s="146">
        <v>24</v>
      </c>
      <c r="X84" s="452" t="s">
        <v>33</v>
      </c>
      <c r="Y84" s="147">
        <f>F73</f>
        <v>59.936</v>
      </c>
    </row>
    <row r="85" spans="3:25">
      <c r="W85" s="146">
        <v>25</v>
      </c>
      <c r="X85" s="452" t="s">
        <v>38</v>
      </c>
      <c r="Y85" s="147">
        <f>F78</f>
        <v>109.46599999999999</v>
      </c>
    </row>
  </sheetData>
  <mergeCells count="22">
    <mergeCell ref="C26:C27"/>
    <mergeCell ref="Q13:Q14"/>
    <mergeCell ref="C23:D23"/>
    <mergeCell ref="E23:F23"/>
    <mergeCell ref="C25:D25"/>
    <mergeCell ref="C28:D28"/>
    <mergeCell ref="C29:C30"/>
    <mergeCell ref="D29:D30"/>
    <mergeCell ref="E29:E30"/>
    <mergeCell ref="F29:F30"/>
    <mergeCell ref="C31:D31"/>
    <mergeCell ref="E37:F37"/>
    <mergeCell ref="G37:G38"/>
    <mergeCell ref="G29:G30"/>
    <mergeCell ref="G54:G55"/>
    <mergeCell ref="E54:F54"/>
    <mergeCell ref="C81:D81"/>
    <mergeCell ref="C39:D39"/>
    <mergeCell ref="C44:D44"/>
    <mergeCell ref="C49:D49"/>
    <mergeCell ref="C54:C55"/>
    <mergeCell ref="D54:D55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8"/>
  <sheetViews>
    <sheetView view="pageBreakPreview" zoomScale="140" zoomScaleNormal="100" zoomScaleSheetLayoutView="140" workbookViewId="0">
      <selection activeCell="C43" sqref="C43"/>
    </sheetView>
  </sheetViews>
  <sheetFormatPr baseColWidth="10" defaultRowHeight="12.75"/>
  <cols>
    <col min="1" max="1" width="4.7109375" customWidth="1"/>
    <col min="2" max="2" width="3.7109375" customWidth="1"/>
    <col min="3" max="3" width="17.7109375" customWidth="1"/>
    <col min="4" max="5" width="8.7109375" customWidth="1"/>
    <col min="6" max="6" width="5.7109375" customWidth="1"/>
    <col min="7" max="8" width="12.7109375" customWidth="1"/>
    <col min="9" max="9" width="6.7109375" customWidth="1"/>
    <col min="10" max="10" width="6" customWidth="1"/>
  </cols>
  <sheetData>
    <row r="2" spans="3:11" ht="15">
      <c r="C2" s="21" t="s">
        <v>147</v>
      </c>
      <c r="D2" s="3"/>
      <c r="E2" s="21"/>
      <c r="F2" s="21"/>
      <c r="G2" s="21"/>
      <c r="H2" s="21"/>
      <c r="I2" s="21"/>
    </row>
    <row r="3" spans="3:11" ht="15">
      <c r="C3" s="22"/>
      <c r="D3" s="3"/>
      <c r="E3" s="22"/>
      <c r="F3" s="22"/>
      <c r="G3" s="22"/>
      <c r="H3" s="22"/>
      <c r="I3" s="22"/>
    </row>
    <row r="4" spans="3:11" ht="15">
      <c r="C4" s="23" t="s">
        <v>144</v>
      </c>
      <c r="D4" s="3"/>
      <c r="E4" s="23"/>
      <c r="F4" s="23"/>
      <c r="G4" s="23"/>
      <c r="H4" s="23"/>
      <c r="I4" s="23"/>
    </row>
    <row r="5" spans="3:11">
      <c r="C5" s="20"/>
      <c r="D5" s="20"/>
      <c r="E5" s="20"/>
      <c r="F5" s="20"/>
      <c r="G5" s="20"/>
      <c r="H5" s="20"/>
      <c r="I5" s="20"/>
    </row>
    <row r="6" spans="3:11">
      <c r="C6" s="10" t="s">
        <v>154</v>
      </c>
      <c r="D6" s="20"/>
      <c r="E6" s="20"/>
      <c r="F6" s="20"/>
      <c r="G6" s="20"/>
      <c r="H6" s="20"/>
      <c r="I6" s="20"/>
    </row>
    <row r="7" spans="3:11" ht="13.5" thickBot="1">
      <c r="C7" s="88"/>
      <c r="D7" s="89"/>
      <c r="E7" s="89"/>
      <c r="F7" s="89"/>
      <c r="G7" s="26"/>
      <c r="H7" s="26"/>
      <c r="I7" s="26"/>
    </row>
    <row r="8" spans="3:11">
      <c r="C8" s="463" t="s">
        <v>145</v>
      </c>
      <c r="D8" s="568" t="s">
        <v>118</v>
      </c>
      <c r="E8" s="569"/>
      <c r="F8" s="570" t="s">
        <v>75</v>
      </c>
      <c r="G8" s="572" t="s">
        <v>119</v>
      </c>
      <c r="H8" s="573"/>
      <c r="I8" s="570" t="s">
        <v>75</v>
      </c>
    </row>
    <row r="9" spans="3:11">
      <c r="C9" s="464"/>
      <c r="D9" s="465">
        <v>2018</v>
      </c>
      <c r="E9" s="466">
        <v>2019</v>
      </c>
      <c r="F9" s="571"/>
      <c r="G9" s="473">
        <v>2018</v>
      </c>
      <c r="H9" s="466">
        <v>2019</v>
      </c>
      <c r="I9" s="571"/>
    </row>
    <row r="10" spans="3:11" ht="4.5" customHeight="1">
      <c r="C10" s="199"/>
      <c r="D10" s="200"/>
      <c r="E10" s="201"/>
      <c r="F10" s="202"/>
      <c r="G10" s="474"/>
      <c r="H10" s="201"/>
      <c r="I10" s="202"/>
    </row>
    <row r="11" spans="3:11" s="1" customFormat="1">
      <c r="C11" s="203" t="s">
        <v>133</v>
      </c>
      <c r="D11" s="204">
        <v>287.29683219293963</v>
      </c>
      <c r="E11" s="205">
        <v>282.51145817628776</v>
      </c>
      <c r="F11" s="206">
        <f>+E11/D11-1</f>
        <v>-1.6656549883008021E-2</v>
      </c>
      <c r="G11" s="475">
        <v>3503.4264135320227</v>
      </c>
      <c r="H11" s="205">
        <v>3323.6642138386806</v>
      </c>
      <c r="I11" s="206">
        <f>+H11/G11-1</f>
        <v>-5.1310396872903841E-2</v>
      </c>
      <c r="K11" s="478"/>
    </row>
    <row r="12" spans="3:11" s="1" customFormat="1" ht="4.5" customHeight="1">
      <c r="C12" s="203"/>
      <c r="D12" s="204"/>
      <c r="E12" s="205"/>
      <c r="F12" s="206"/>
      <c r="G12" s="475"/>
      <c r="H12" s="205"/>
      <c r="I12" s="206"/>
      <c r="K12" s="394"/>
    </row>
    <row r="13" spans="3:11">
      <c r="C13" s="203" t="s">
        <v>146</v>
      </c>
      <c r="D13" s="204">
        <v>43.752767699576843</v>
      </c>
      <c r="E13" s="205">
        <v>47.418584819677392</v>
      </c>
      <c r="F13" s="206">
        <f>+E13/D13-1</f>
        <v>8.37848052326986E-2</v>
      </c>
      <c r="G13" s="475">
        <v>509.26587112082166</v>
      </c>
      <c r="H13" s="205">
        <v>545.04120482387839</v>
      </c>
      <c r="I13" s="206">
        <f>+H13/G13-1</f>
        <v>7.0248834119436054E-2</v>
      </c>
      <c r="K13" s="478"/>
    </row>
    <row r="14" spans="3:11" ht="4.5" customHeight="1">
      <c r="C14" s="203"/>
      <c r="D14" s="204"/>
      <c r="E14" s="205"/>
      <c r="F14" s="206"/>
      <c r="G14" s="475"/>
      <c r="H14" s="205"/>
      <c r="I14" s="345"/>
      <c r="K14" s="394"/>
    </row>
    <row r="15" spans="3:11" s="1" customFormat="1">
      <c r="C15" s="203" t="s">
        <v>134</v>
      </c>
      <c r="D15" s="204">
        <v>292.04587970633588</v>
      </c>
      <c r="E15" s="205">
        <v>310.1838667994889</v>
      </c>
      <c r="F15" s="206">
        <f>+E15/D15-1</f>
        <v>6.2106635818288236E-2</v>
      </c>
      <c r="G15" s="475">
        <v>3401.3904430404973</v>
      </c>
      <c r="H15" s="205">
        <v>3544.9584777084451</v>
      </c>
      <c r="I15" s="206">
        <f>+H15/G15-1</f>
        <v>4.220863116779161E-2</v>
      </c>
      <c r="K15" s="478"/>
    </row>
    <row r="16" spans="3:11" ht="4.5" customHeight="1">
      <c r="C16" s="207"/>
      <c r="D16" s="208"/>
      <c r="E16" s="209"/>
      <c r="F16" s="210"/>
      <c r="G16" s="476"/>
      <c r="H16" s="209"/>
      <c r="I16" s="210"/>
    </row>
    <row r="17" spans="3:9" ht="13.5" thickBot="1">
      <c r="C17" s="467" t="s">
        <v>108</v>
      </c>
      <c r="D17" s="468">
        <f>SUM(D11,D13,D15)</f>
        <v>623.09547959885231</v>
      </c>
      <c r="E17" s="469">
        <f>SUM(E11,E13,E15)</f>
        <v>640.11390979545399</v>
      </c>
      <c r="F17" s="470">
        <f>+E17/D17-1</f>
        <v>2.7312716515867086E-2</v>
      </c>
      <c r="G17" s="477">
        <f>SUM(G10:G16)</f>
        <v>7414.0827276933414</v>
      </c>
      <c r="H17" s="471">
        <f>SUM(H10:H16)</f>
        <v>7413.6638963710047</v>
      </c>
      <c r="I17" s="472">
        <f>+H17/G17-1</f>
        <v>-5.6491320331808481E-5</v>
      </c>
    </row>
    <row r="18" spans="3:9">
      <c r="C18" s="479" t="s">
        <v>148</v>
      </c>
      <c r="D18" s="89"/>
      <c r="E18" s="89"/>
      <c r="F18" s="89"/>
      <c r="G18" s="89"/>
      <c r="H18" s="89"/>
      <c r="I18" s="89"/>
    </row>
  </sheetData>
  <mergeCells count="4">
    <mergeCell ref="D8:E8"/>
    <mergeCell ref="F8:F9"/>
    <mergeCell ref="G8:H8"/>
    <mergeCell ref="I8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Resumenn(G)</vt:lpstr>
      <vt:lpstr>TipoRecurso (G)</vt:lpstr>
      <vt:lpstr>PorZona (G)</vt:lpstr>
      <vt:lpstr>Por Región (G)</vt:lpstr>
      <vt:lpstr>Resumen VENTAS (D)</vt:lpstr>
      <vt:lpstr>Resumen CLIENTES (D)</vt:lpstr>
      <vt:lpstr>Resumen FACTURACIÓN</vt:lpstr>
      <vt:lpstr>'Por Región (G)'!Área_de_impresión</vt:lpstr>
      <vt:lpstr>'PorZona (G)'!Área_de_impresión</vt:lpstr>
      <vt:lpstr>'Resumen CLIENTES (D)'!Área_de_impresión</vt:lpstr>
      <vt:lpstr>'Resumen FACTURACIÓN'!Área_de_impresión</vt:lpstr>
      <vt:lpstr>'Resumen VENTAS (D)'!Área_de_impresión</vt:lpstr>
      <vt:lpstr>'Resumenn(G)'!Área_de_impresión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2020-02-18T16:58:48Z</dcterms:modified>
</cp:coreProperties>
</file>